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3.xml" ContentType="application/vnd.openxmlformats-officedocument.drawingml.chart+xml"/>
  <Override PartName="/xl/drawings/drawing9.xml" ContentType="application/vnd.openxmlformats-officedocument.drawingml.chartshapes+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C:\Users\dhc6\Downloads\"/>
    </mc:Choice>
  </mc:AlternateContent>
  <xr:revisionPtr revIDLastSave="0" documentId="13_ncr:1_{BCB4CD47-3547-4989-B69E-EC6ACC2688C4}" xr6:coauthVersionLast="47" xr6:coauthVersionMax="47" xr10:uidLastSave="{00000000-0000-0000-0000-000000000000}"/>
  <bookViews>
    <workbookView xWindow="-108" yWindow="-108" windowWidth="23256" windowHeight="12456" tabRatio="728" activeTab="1" xr2:uid="{C5B89C39-BF50-DC47-A069-DB9E4206E395}"/>
  </bookViews>
  <sheets>
    <sheet name="C172 R-S" sheetId="1" r:id="rId1"/>
    <sheet name="P2002JF" sheetId="2" r:id="rId2"/>
    <sheet name="EFPL-C172" sheetId="9" r:id="rId3"/>
    <sheet name="EFPL-P2002JF" sheetId="8" r:id="rId4"/>
    <sheet name="INSTRUCTIVO" sheetId="6" r:id="rId5"/>
    <sheet name="C172 R-S - BLANCO" sheetId="4" r:id="rId6"/>
    <sheet name="P2002JF - BLANCO" sheetId="3" r:id="rId7"/>
    <sheet name="PREVAC" sheetId="7" state="hidden" r:id="rId8"/>
  </sheets>
  <definedNames>
    <definedName name="↑">#REF!</definedName>
    <definedName name="↑.">#REF!</definedName>
    <definedName name="↑˙">#REF!</definedName>
    <definedName name="→.→" localSheetId="4">#REF!</definedName>
    <definedName name="→.→" localSheetId="1">#REF!</definedName>
    <definedName name="→.→" localSheetId="6">#REF!</definedName>
    <definedName name="→.→">#REF!</definedName>
    <definedName name="→˙→" localSheetId="4">#REF!</definedName>
    <definedName name="→˙→" localSheetId="1">#REF!</definedName>
    <definedName name="→˙→" localSheetId="6">#REF!</definedName>
    <definedName name="→˙→">#REF!</definedName>
    <definedName name="→→" localSheetId="4">#REF!</definedName>
    <definedName name="→→" localSheetId="1">#REF!</definedName>
    <definedName name="→→" localSheetId="6">#REF!</definedName>
    <definedName name="→→">#REF!</definedName>
    <definedName name="↓">#REF!</definedName>
    <definedName name="↓.">#REF!</definedName>
    <definedName name="↓˙">#REF!</definedName>
    <definedName name="_xlnm.Print_Area" localSheetId="0">'C172 R-S'!$A$1:$AC$84</definedName>
    <definedName name="_xlnm.Print_Area" localSheetId="5">'C172 R-S - BLANCO'!$B$2:$R$45</definedName>
    <definedName name="_xlnm.Print_Area" localSheetId="2">'EFPL-C172'!$A$1:$AF$93</definedName>
    <definedName name="_xlnm.Print_Area" localSheetId="3">'EFPL-P2002JF'!$A$1:$AF$93</definedName>
    <definedName name="_xlnm.Print_Area" localSheetId="4">INSTRUCTIVO!$B$2:$Q$39</definedName>
    <definedName name="_xlnm.Print_Area" localSheetId="1">P2002JF!$A$1:$AB$84</definedName>
    <definedName name="_xlnm.Print_Area" localSheetId="6">'P2002JF - BLANCO'!$B$2:$R$45</definedName>
    <definedName name="_xlnm.Print_Area" localSheetId="7">PREVAC!$AJ$2:$AP$254</definedName>
    <definedName name="Fase" localSheetId="4">#REF!</definedName>
    <definedName name="Fase" localSheetId="1">#REF!</definedName>
    <definedName name="Fase" localSheetId="6">#REF!</definedName>
    <definedName name="Fase">#REF!</definedName>
    <definedName name="Fase1" localSheetId="4">#REF!</definedName>
    <definedName name="Fase1" localSheetId="1">#REF!</definedName>
    <definedName name="Fase1" localSheetId="6">#REF!</definedName>
    <definedName name="Fase1">#REF!</definedName>
    <definedName name="Fase10" localSheetId="4">#REF!</definedName>
    <definedName name="Fase10" localSheetId="1">#REF!</definedName>
    <definedName name="Fase10" localSheetId="6">#REF!</definedName>
    <definedName name="Fase10">#REF!</definedName>
    <definedName name="Fase11">#REF!</definedName>
    <definedName name="Fase12">#REF!</definedName>
    <definedName name="Fase13">#REF!</definedName>
    <definedName name="Fase14">#REF!</definedName>
    <definedName name="Fase15">#REF!</definedName>
    <definedName name="Fase16">#REF!</definedName>
    <definedName name="Fase17">#REF!</definedName>
    <definedName name="Fase18">#REF!</definedName>
    <definedName name="Fase19">#REF!</definedName>
    <definedName name="Fase2">#REF!</definedName>
    <definedName name="Fase3">#REF!</definedName>
    <definedName name="Fase4">#REF!</definedName>
    <definedName name="Fase5">#REF!</definedName>
    <definedName name="Fase6">#REF!</definedName>
    <definedName name="Fase7">#REF!</definedName>
    <definedName name="Fase8">#REF!</definedName>
    <definedName name="Fase9">#REF!</definedName>
    <definedName name="NombreFSE">#REF!</definedName>
    <definedName name="Retornoimagen" localSheetId="4">INDEX(#REF!,MATCH(#REF!,#REF!,0))</definedName>
    <definedName name="Retornoimagen" localSheetId="1">INDEX(#REF!,MATCH(#REF!,#REF!,0))</definedName>
    <definedName name="Retornoimagen" localSheetId="6">INDEX(#REF!,MATCH(#REF!,#REF!,0))</definedName>
    <definedName name="Retornoimagen">INDEX(#REF!,MATCH(#REF!,#REF!,0))</definedName>
    <definedName name="Vuelo">#REF!</definedName>
    <definedName name="Vuelo1">#REF!</definedName>
    <definedName name="Vuelo10">#REF!</definedName>
    <definedName name="Vuelo11">#REF!</definedName>
    <definedName name="Vuelo12">#REF!</definedName>
    <definedName name="Vuelo13">#REF!</definedName>
    <definedName name="Vuelo14">#REF!</definedName>
    <definedName name="Vuelo15">#REF!</definedName>
    <definedName name="Vuelo16">#REF!</definedName>
    <definedName name="Vuelo17">#REF!</definedName>
    <definedName name="Vuelo18">#REF!</definedName>
    <definedName name="Vuelo19">#REF!</definedName>
    <definedName name="Vuelo2">#REF!</definedName>
    <definedName name="Vuelo3">#REF!</definedName>
    <definedName name="Vuelo4">#REF!</definedName>
    <definedName name="Vuelo5">#REF!</definedName>
    <definedName name="Vuelo6">#REF!</definedName>
    <definedName name="Vuelo7">#REF!</definedName>
    <definedName name="Vuelo8">#REF!</definedName>
    <definedName name="Vuelo9">#REF!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F9" i="1" l="1"/>
  <c r="AE9" i="2"/>
  <c r="H11" i="1" l="1"/>
  <c r="H14" i="1" s="1"/>
  <c r="L25" i="1"/>
  <c r="L25" i="2"/>
  <c r="H11" i="2"/>
  <c r="H14" i="2" s="1"/>
  <c r="Y13" i="1"/>
  <c r="X13" i="2"/>
  <c r="Y12" i="1"/>
  <c r="X12" i="2"/>
  <c r="I24" i="2"/>
  <c r="I24" i="1"/>
  <c r="M25" i="2"/>
  <c r="M32" i="2" s="1"/>
  <c r="M25" i="1"/>
  <c r="M32" i="1" s="1"/>
  <c r="F38" i="1" a="1"/>
  <c r="F38" i="1" s="1"/>
  <c r="B38" i="1"/>
  <c r="F36" i="1"/>
  <c r="B36" i="1"/>
  <c r="F38" i="2" a="1"/>
  <c r="F38" i="2" s="1"/>
  <c r="B38" i="2"/>
  <c r="F36" i="2"/>
  <c r="I23" i="2"/>
  <c r="AC13" i="2"/>
  <c r="AC14" i="2"/>
  <c r="AC10" i="2"/>
  <c r="AC9" i="2"/>
  <c r="F11" i="2"/>
  <c r="B36" i="2"/>
  <c r="L22" i="2"/>
  <c r="N22" i="2" s="1"/>
  <c r="E24" i="2"/>
  <c r="F11" i="1"/>
  <c r="E24" i="1"/>
  <c r="AD13" i="1"/>
  <c r="AD10" i="1"/>
  <c r="AD9" i="1"/>
  <c r="F33" i="1" l="1"/>
  <c r="B33" i="1"/>
  <c r="I23" i="1"/>
  <c r="Y90" i="9"/>
  <c r="N22" i="8"/>
  <c r="M22" i="8"/>
  <c r="L22" i="8"/>
  <c r="N22" i="9"/>
  <c r="AC47" i="9" a="1"/>
  <c r="AC47" i="9" s="1"/>
  <c r="AB47" i="9" a="1"/>
  <c r="AB47" i="9" s="1"/>
  <c r="V47" i="9" a="1"/>
  <c r="V47" i="9" s="1"/>
  <c r="U47" i="9" a="1"/>
  <c r="U47" i="9" s="1"/>
  <c r="G47" i="9" a="1"/>
  <c r="G47" i="9" s="1"/>
  <c r="F47" i="9" a="1"/>
  <c r="F47" i="9" s="1"/>
  <c r="AC47" i="8"/>
  <c r="AB47" i="8"/>
  <c r="V47" i="8"/>
  <c r="U47" i="8"/>
  <c r="G47" i="8"/>
  <c r="F47" i="8"/>
  <c r="G32" i="9" a="1"/>
  <c r="G32" i="9" s="1"/>
  <c r="F32" i="9" a="1"/>
  <c r="F32" i="9" s="1"/>
  <c r="F32" i="8"/>
  <c r="G32" i="8"/>
  <c r="A88" i="9"/>
  <c r="D85" i="9" s="1"/>
  <c r="A88" i="8" l="1"/>
  <c r="D85" i="8" s="1"/>
  <c r="N64" i="8"/>
  <c r="Y90" i="8"/>
  <c r="AI255" i="7"/>
  <c r="AI261" i="7"/>
  <c r="AI260" i="7"/>
  <c r="AI259" i="7"/>
  <c r="AI258" i="7"/>
  <c r="AM257" i="7"/>
  <c r="AI257" i="7"/>
  <c r="AI256" i="7"/>
  <c r="AM178" i="7"/>
  <c r="O4" i="7"/>
  <c r="O5" i="7"/>
  <c r="O6" i="7"/>
  <c r="O7" i="7"/>
  <c r="O8" i="7"/>
  <c r="AM154" i="7" s="1"/>
  <c r="O9" i="7"/>
  <c r="AM54" i="7" s="1"/>
  <c r="O10" i="7"/>
  <c r="AM42" i="7" s="1"/>
  <c r="O11" i="7"/>
  <c r="AM124" i="7" s="1"/>
  <c r="O12" i="7"/>
  <c r="AM14" i="7" s="1"/>
  <c r="O13" i="7"/>
  <c r="O14" i="7"/>
  <c r="AM204" i="7" s="1"/>
  <c r="O15" i="7"/>
  <c r="AM29" i="7" s="1"/>
  <c r="O16" i="7"/>
  <c r="AM99" i="7" s="1"/>
  <c r="O17" i="7"/>
  <c r="O18" i="7"/>
  <c r="O19" i="7"/>
  <c r="AM16" i="7" s="1"/>
  <c r="O20" i="7"/>
  <c r="AM4" i="7" s="1"/>
  <c r="O21" i="7"/>
  <c r="AM88" i="7" s="1"/>
  <c r="O22" i="7"/>
  <c r="AM163" i="7" s="1"/>
  <c r="O23" i="7"/>
  <c r="O24" i="7"/>
  <c r="AM66" i="7" s="1"/>
  <c r="O25" i="7"/>
  <c r="AM157" i="7" s="1"/>
  <c r="O26" i="7"/>
  <c r="AM80" i="7" s="1"/>
  <c r="O27" i="7"/>
  <c r="AM206" i="7" s="1"/>
  <c r="O3" i="7"/>
  <c r="R20" i="7"/>
  <c r="X38" i="7"/>
  <c r="X37" i="7"/>
  <c r="X36" i="7"/>
  <c r="X35" i="7"/>
  <c r="X34" i="7"/>
  <c r="X33" i="7"/>
  <c r="X32" i="7"/>
  <c r="X31" i="7"/>
  <c r="X30" i="7"/>
  <c r="X29" i="7"/>
  <c r="X28" i="7"/>
  <c r="X27" i="7"/>
  <c r="X26" i="7"/>
  <c r="W38" i="7"/>
  <c r="W37" i="7"/>
  <c r="W36" i="7"/>
  <c r="W35" i="7"/>
  <c r="W34" i="7"/>
  <c r="W33" i="7"/>
  <c r="W32" i="7"/>
  <c r="W31" i="7"/>
  <c r="W30" i="7"/>
  <c r="W29" i="7"/>
  <c r="W28" i="7"/>
  <c r="W27" i="7"/>
  <c r="W26" i="7"/>
  <c r="V38" i="7"/>
  <c r="V37" i="7"/>
  <c r="V36" i="7"/>
  <c r="V35" i="7"/>
  <c r="V34" i="7"/>
  <c r="V33" i="7"/>
  <c r="V32" i="7"/>
  <c r="V31" i="7"/>
  <c r="V30" i="7"/>
  <c r="V29" i="7"/>
  <c r="V28" i="7"/>
  <c r="V27" i="7"/>
  <c r="V26" i="7"/>
  <c r="U38" i="7"/>
  <c r="U37" i="7"/>
  <c r="U36" i="7"/>
  <c r="U35" i="7"/>
  <c r="U34" i="7"/>
  <c r="U33" i="7"/>
  <c r="U32" i="7"/>
  <c r="U31" i="7"/>
  <c r="U30" i="7"/>
  <c r="U29" i="7"/>
  <c r="U28" i="7"/>
  <c r="U27" i="7"/>
  <c r="U26" i="7"/>
  <c r="T38" i="7"/>
  <c r="T37" i="7"/>
  <c r="T36" i="7"/>
  <c r="T35" i="7"/>
  <c r="T34" i="7"/>
  <c r="T33" i="7"/>
  <c r="T32" i="7"/>
  <c r="T24" i="2" s="1"/>
  <c r="V24" i="2" s="1"/>
  <c r="T31" i="7"/>
  <c r="T30" i="7"/>
  <c r="T29" i="7"/>
  <c r="T28" i="7"/>
  <c r="T27" i="7"/>
  <c r="T26" i="7"/>
  <c r="S38" i="7"/>
  <c r="S37" i="7"/>
  <c r="S36" i="7"/>
  <c r="S35" i="7"/>
  <c r="S34" i="7"/>
  <c r="S33" i="7"/>
  <c r="S32" i="7"/>
  <c r="S31" i="7"/>
  <c r="S30" i="7"/>
  <c r="S29" i="7"/>
  <c r="S28" i="7"/>
  <c r="S27" i="7"/>
  <c r="S26" i="7"/>
  <c r="R38" i="7"/>
  <c r="R37" i="7"/>
  <c r="R36" i="7"/>
  <c r="R35" i="7"/>
  <c r="R34" i="7"/>
  <c r="R33" i="7"/>
  <c r="R32" i="7"/>
  <c r="R31" i="7"/>
  <c r="R30" i="7"/>
  <c r="R29" i="7"/>
  <c r="R28" i="7"/>
  <c r="R27" i="7"/>
  <c r="R26" i="7"/>
  <c r="X25" i="7"/>
  <c r="X24" i="7"/>
  <c r="X23" i="7"/>
  <c r="X22" i="7"/>
  <c r="X21" i="7"/>
  <c r="X20" i="7"/>
  <c r="X19" i="7"/>
  <c r="X18" i="7"/>
  <c r="X17" i="7"/>
  <c r="X16" i="7"/>
  <c r="X15" i="7"/>
  <c r="W25" i="7"/>
  <c r="W24" i="7"/>
  <c r="W23" i="7"/>
  <c r="W22" i="7"/>
  <c r="W21" i="7"/>
  <c r="W20" i="7"/>
  <c r="W19" i="7"/>
  <c r="W18" i="7"/>
  <c r="W17" i="7"/>
  <c r="W16" i="7"/>
  <c r="W15" i="7"/>
  <c r="V25" i="7"/>
  <c r="V24" i="7"/>
  <c r="S26" i="2" s="1"/>
  <c r="U26" i="2" s="1"/>
  <c r="V23" i="7"/>
  <c r="V22" i="7"/>
  <c r="V21" i="7"/>
  <c r="V20" i="7"/>
  <c r="V19" i="7"/>
  <c r="V18" i="7"/>
  <c r="V17" i="7"/>
  <c r="V16" i="7"/>
  <c r="V15" i="7"/>
  <c r="U25" i="7"/>
  <c r="U24" i="7"/>
  <c r="S25" i="2" s="1"/>
  <c r="U25" i="2" s="1"/>
  <c r="U23" i="7"/>
  <c r="U22" i="7"/>
  <c r="U21" i="7"/>
  <c r="U20" i="7"/>
  <c r="U19" i="7"/>
  <c r="U18" i="7"/>
  <c r="U17" i="7"/>
  <c r="U16" i="7"/>
  <c r="U15" i="7"/>
  <c r="T25" i="7"/>
  <c r="T24" i="7"/>
  <c r="T23" i="7"/>
  <c r="T22" i="7"/>
  <c r="T21" i="7"/>
  <c r="T20" i="7"/>
  <c r="T19" i="7"/>
  <c r="T18" i="7"/>
  <c r="T17" i="7"/>
  <c r="T16" i="7"/>
  <c r="T15" i="7"/>
  <c r="S25" i="7"/>
  <c r="S24" i="7"/>
  <c r="S23" i="7"/>
  <c r="S22" i="7"/>
  <c r="S21" i="7"/>
  <c r="S20" i="7"/>
  <c r="S19" i="7"/>
  <c r="S18" i="7"/>
  <c r="S17" i="7"/>
  <c r="S16" i="7"/>
  <c r="R25" i="7"/>
  <c r="R24" i="7"/>
  <c r="R23" i="7"/>
  <c r="R22" i="7"/>
  <c r="R21" i="7"/>
  <c r="R19" i="7"/>
  <c r="R18" i="7"/>
  <c r="R17" i="7"/>
  <c r="R16" i="7"/>
  <c r="S15" i="7"/>
  <c r="R15" i="7"/>
  <c r="X14" i="7"/>
  <c r="W14" i="7"/>
  <c r="V14" i="7"/>
  <c r="U14" i="7"/>
  <c r="T14" i="7"/>
  <c r="S14" i="7"/>
  <c r="R14" i="7"/>
  <c r="X13" i="7"/>
  <c r="W13" i="7"/>
  <c r="V13" i="7"/>
  <c r="U13" i="7"/>
  <c r="T13" i="7"/>
  <c r="S13" i="7"/>
  <c r="R13" i="7"/>
  <c r="X12" i="7"/>
  <c r="W12" i="7"/>
  <c r="V12" i="7"/>
  <c r="U12" i="7"/>
  <c r="T12" i="7"/>
  <c r="S12" i="7"/>
  <c r="R12" i="7"/>
  <c r="X11" i="7"/>
  <c r="W11" i="7"/>
  <c r="V11" i="7"/>
  <c r="U11" i="7"/>
  <c r="T11" i="7"/>
  <c r="S11" i="7"/>
  <c r="X10" i="7"/>
  <c r="W10" i="7"/>
  <c r="V10" i="7"/>
  <c r="U10" i="7"/>
  <c r="T10" i="7"/>
  <c r="R11" i="7"/>
  <c r="S10" i="7"/>
  <c r="R10" i="7"/>
  <c r="X9" i="7"/>
  <c r="W9" i="7"/>
  <c r="V9" i="7"/>
  <c r="U9" i="7"/>
  <c r="T9" i="7"/>
  <c r="S9" i="7"/>
  <c r="R9" i="7"/>
  <c r="X8" i="7"/>
  <c r="W8" i="7"/>
  <c r="V8" i="7"/>
  <c r="R8" i="7"/>
  <c r="U8" i="7"/>
  <c r="T8" i="7"/>
  <c r="S8" i="7"/>
  <c r="X7" i="7"/>
  <c r="W7" i="7"/>
  <c r="V7" i="7"/>
  <c r="U7" i="7"/>
  <c r="T7" i="7"/>
  <c r="S7" i="7"/>
  <c r="R7" i="7"/>
  <c r="X6" i="7"/>
  <c r="W6" i="7"/>
  <c r="V6" i="7"/>
  <c r="U6" i="7"/>
  <c r="T6" i="7"/>
  <c r="S6" i="7"/>
  <c r="R6" i="7"/>
  <c r="X5" i="7"/>
  <c r="W5" i="7"/>
  <c r="V5" i="7"/>
  <c r="U5" i="7"/>
  <c r="T5" i="7"/>
  <c r="S5" i="7"/>
  <c r="R5" i="7"/>
  <c r="X4" i="7"/>
  <c r="W4" i="7"/>
  <c r="V4" i="7"/>
  <c r="U4" i="7"/>
  <c r="T4" i="7"/>
  <c r="S4" i="7"/>
  <c r="R4" i="7"/>
  <c r="X3" i="7"/>
  <c r="W3" i="7"/>
  <c r="V3" i="7"/>
  <c r="U3" i="7"/>
  <c r="T3" i="7"/>
  <c r="S3" i="7"/>
  <c r="R3" i="7"/>
  <c r="S12" i="1" s="1"/>
  <c r="B56" i="2"/>
  <c r="AJ54" i="2" s="1"/>
  <c r="B80" i="2"/>
  <c r="AJ80" i="2" s="1"/>
  <c r="B78" i="2"/>
  <c r="B72" i="2"/>
  <c r="AJ75" i="2" s="1"/>
  <c r="B70" i="2"/>
  <c r="B64" i="2"/>
  <c r="AJ68" i="2" s="1"/>
  <c r="B62" i="2"/>
  <c r="B54" i="2"/>
  <c r="T28" i="2"/>
  <c r="V28" i="2" s="1"/>
  <c r="S28" i="2"/>
  <c r="U28" i="2" s="1"/>
  <c r="T27" i="2"/>
  <c r="V27" i="2" s="1"/>
  <c r="S27" i="2"/>
  <c r="U27" i="2" s="1"/>
  <c r="T26" i="2"/>
  <c r="V26" i="2" s="1"/>
  <c r="T25" i="2"/>
  <c r="V25" i="2" s="1"/>
  <c r="S24" i="2"/>
  <c r="U24" i="2" s="1"/>
  <c r="T23" i="2"/>
  <c r="V23" i="2" s="1"/>
  <c r="S23" i="2"/>
  <c r="U23" i="2" s="1"/>
  <c r="T22" i="2"/>
  <c r="V22" i="2" s="1"/>
  <c r="S22" i="2"/>
  <c r="U22" i="2" s="1"/>
  <c r="R21" i="2"/>
  <c r="Q21" i="2"/>
  <c r="S12" i="2"/>
  <c r="U12" i="2" s="1"/>
  <c r="T18" i="2"/>
  <c r="V18" i="2" s="1"/>
  <c r="S18" i="2"/>
  <c r="U18" i="2" s="1"/>
  <c r="T17" i="2"/>
  <c r="V17" i="2" s="1"/>
  <c r="S17" i="2"/>
  <c r="U17" i="2" s="1"/>
  <c r="T16" i="2"/>
  <c r="V16" i="2" s="1"/>
  <c r="S16" i="2"/>
  <c r="U16" i="2" s="1"/>
  <c r="T15" i="2"/>
  <c r="V15" i="2" s="1"/>
  <c r="S15" i="2"/>
  <c r="U15" i="2" s="1"/>
  <c r="T14" i="2"/>
  <c r="V14" i="2" s="1"/>
  <c r="S14" i="2"/>
  <c r="U14" i="2" s="1"/>
  <c r="T13" i="2"/>
  <c r="V13" i="2" s="1"/>
  <c r="S13" i="2"/>
  <c r="U13" i="2" s="1"/>
  <c r="T12" i="2"/>
  <c r="V12" i="2" s="1"/>
  <c r="R11" i="2"/>
  <c r="Q11" i="2"/>
  <c r="AI3" i="7"/>
  <c r="AI4" i="7"/>
  <c r="AI5" i="7"/>
  <c r="AI6" i="7"/>
  <c r="AI7" i="7"/>
  <c r="AI8" i="7"/>
  <c r="AI9" i="7"/>
  <c r="AI10" i="7"/>
  <c r="AI11" i="7"/>
  <c r="AI12" i="7"/>
  <c r="AI13" i="7"/>
  <c r="AI14" i="7"/>
  <c r="AI15" i="7"/>
  <c r="AI16" i="7"/>
  <c r="AI17" i="7"/>
  <c r="AI18" i="7"/>
  <c r="AI19" i="7"/>
  <c r="AI20" i="7"/>
  <c r="AI21" i="7"/>
  <c r="AI22" i="7"/>
  <c r="AI23" i="7"/>
  <c r="AI24" i="7"/>
  <c r="AI25" i="7"/>
  <c r="AI26" i="7"/>
  <c r="AI27" i="7"/>
  <c r="AI28" i="7"/>
  <c r="AI29" i="7"/>
  <c r="AI30" i="7"/>
  <c r="AI31" i="7"/>
  <c r="AI32" i="7"/>
  <c r="AI33" i="7"/>
  <c r="AI34" i="7"/>
  <c r="AI35" i="7"/>
  <c r="AI36" i="7"/>
  <c r="AI37" i="7"/>
  <c r="AI38" i="7"/>
  <c r="AI39" i="7"/>
  <c r="AI40" i="7"/>
  <c r="AI41" i="7"/>
  <c r="AI42" i="7"/>
  <c r="AI43" i="7"/>
  <c r="AI44" i="7"/>
  <c r="AI45" i="7"/>
  <c r="AI46" i="7"/>
  <c r="AI47" i="7"/>
  <c r="AI48" i="7"/>
  <c r="AI49" i="7"/>
  <c r="AI50" i="7"/>
  <c r="AI51" i="7"/>
  <c r="AI52" i="7"/>
  <c r="AI53" i="7"/>
  <c r="AI54" i="7"/>
  <c r="AI55" i="7"/>
  <c r="AI56" i="7"/>
  <c r="AI57" i="7"/>
  <c r="AI58" i="7"/>
  <c r="AI59" i="7"/>
  <c r="AI60" i="7"/>
  <c r="AI61" i="7"/>
  <c r="AI62" i="7"/>
  <c r="AI63" i="7"/>
  <c r="AI64" i="7"/>
  <c r="AI65" i="7"/>
  <c r="AI66" i="7"/>
  <c r="AI67" i="7"/>
  <c r="AI68" i="7"/>
  <c r="AI69" i="7"/>
  <c r="AI70" i="7"/>
  <c r="AI71" i="7"/>
  <c r="AI72" i="7"/>
  <c r="AI73" i="7"/>
  <c r="AI74" i="7"/>
  <c r="AI75" i="7"/>
  <c r="AI76" i="7"/>
  <c r="AI77" i="7"/>
  <c r="AI78" i="7"/>
  <c r="AI79" i="7"/>
  <c r="AI80" i="7"/>
  <c r="AI81" i="7"/>
  <c r="AI82" i="7"/>
  <c r="AI83" i="7"/>
  <c r="AI84" i="7"/>
  <c r="AI85" i="7"/>
  <c r="AI86" i="7"/>
  <c r="AI87" i="7"/>
  <c r="AI88" i="7"/>
  <c r="AI89" i="7"/>
  <c r="AI90" i="7"/>
  <c r="AI91" i="7"/>
  <c r="AI92" i="7"/>
  <c r="AI93" i="7"/>
  <c r="AI94" i="7"/>
  <c r="AI95" i="7"/>
  <c r="AI96" i="7"/>
  <c r="AI97" i="7"/>
  <c r="AI98" i="7"/>
  <c r="AI99" i="7"/>
  <c r="AI100" i="7"/>
  <c r="AI101" i="7"/>
  <c r="AI102" i="7"/>
  <c r="AI103" i="7"/>
  <c r="AI104" i="7"/>
  <c r="AI105" i="7"/>
  <c r="AI106" i="7"/>
  <c r="AI107" i="7"/>
  <c r="AI108" i="7"/>
  <c r="AI109" i="7"/>
  <c r="AI110" i="7"/>
  <c r="AI111" i="7"/>
  <c r="AI112" i="7"/>
  <c r="AI113" i="7"/>
  <c r="AI114" i="7"/>
  <c r="AI115" i="7"/>
  <c r="AI116" i="7"/>
  <c r="AI117" i="7"/>
  <c r="AI118" i="7"/>
  <c r="AI119" i="7"/>
  <c r="AI120" i="7"/>
  <c r="AI121" i="7"/>
  <c r="AI122" i="7"/>
  <c r="AI123" i="7"/>
  <c r="AI124" i="7"/>
  <c r="AI125" i="7"/>
  <c r="AI126" i="7"/>
  <c r="AI127" i="7"/>
  <c r="AI128" i="7"/>
  <c r="AI129" i="7"/>
  <c r="AI130" i="7"/>
  <c r="AI131" i="7"/>
  <c r="AI132" i="7"/>
  <c r="AI133" i="7"/>
  <c r="AI134" i="7"/>
  <c r="AI135" i="7"/>
  <c r="AI136" i="7"/>
  <c r="AI137" i="7"/>
  <c r="AI138" i="7"/>
  <c r="AI139" i="7"/>
  <c r="AI140" i="7"/>
  <c r="AI141" i="7"/>
  <c r="AI142" i="7"/>
  <c r="AI143" i="7"/>
  <c r="AI144" i="7"/>
  <c r="AI145" i="7"/>
  <c r="AI146" i="7"/>
  <c r="AI147" i="7"/>
  <c r="AI148" i="7"/>
  <c r="AI149" i="7"/>
  <c r="AI150" i="7"/>
  <c r="AI151" i="7"/>
  <c r="AI152" i="7"/>
  <c r="AI153" i="7"/>
  <c r="AI154" i="7"/>
  <c r="AI155" i="7"/>
  <c r="AI156" i="7"/>
  <c r="AI157" i="7"/>
  <c r="AI158" i="7"/>
  <c r="AI159" i="7"/>
  <c r="AI160" i="7"/>
  <c r="AI161" i="7"/>
  <c r="AI162" i="7"/>
  <c r="AI163" i="7"/>
  <c r="AI164" i="7"/>
  <c r="AI165" i="7"/>
  <c r="AI166" i="7"/>
  <c r="AI167" i="7"/>
  <c r="AI168" i="7"/>
  <c r="AI169" i="7"/>
  <c r="AI170" i="7"/>
  <c r="AI171" i="7"/>
  <c r="AI172" i="7"/>
  <c r="AI173" i="7"/>
  <c r="AI174" i="7"/>
  <c r="AI175" i="7"/>
  <c r="AI176" i="7"/>
  <c r="AI177" i="7"/>
  <c r="AI178" i="7"/>
  <c r="AI179" i="7"/>
  <c r="AI180" i="7"/>
  <c r="AI181" i="7"/>
  <c r="AI182" i="7"/>
  <c r="AI183" i="7"/>
  <c r="AI184" i="7"/>
  <c r="AI185" i="7"/>
  <c r="AI186" i="7"/>
  <c r="AI187" i="7"/>
  <c r="AI188" i="7"/>
  <c r="AI189" i="7"/>
  <c r="AI190" i="7"/>
  <c r="AI191" i="7"/>
  <c r="AI192" i="7"/>
  <c r="AI193" i="7"/>
  <c r="AI194" i="7"/>
  <c r="AI195" i="7"/>
  <c r="AI196" i="7"/>
  <c r="AI197" i="7"/>
  <c r="AI198" i="7"/>
  <c r="AI199" i="7"/>
  <c r="AI200" i="7"/>
  <c r="AI201" i="7"/>
  <c r="AI202" i="7"/>
  <c r="AI203" i="7"/>
  <c r="AI204" i="7"/>
  <c r="AI205" i="7"/>
  <c r="AI206" i="7"/>
  <c r="AI207" i="7"/>
  <c r="AI208" i="7"/>
  <c r="AI209" i="7"/>
  <c r="AI210" i="7"/>
  <c r="AI211" i="7"/>
  <c r="AI212" i="7"/>
  <c r="AI213" i="7"/>
  <c r="AI214" i="7"/>
  <c r="AI215" i="7"/>
  <c r="AI216" i="7"/>
  <c r="AI217" i="7"/>
  <c r="AI218" i="7"/>
  <c r="AI219" i="7"/>
  <c r="AI220" i="7"/>
  <c r="AI221" i="7"/>
  <c r="AI222" i="7"/>
  <c r="AI223" i="7"/>
  <c r="AI224" i="7"/>
  <c r="AI225" i="7"/>
  <c r="AI226" i="7"/>
  <c r="AI227" i="7"/>
  <c r="AI228" i="7"/>
  <c r="AI229" i="7"/>
  <c r="AI230" i="7"/>
  <c r="AI231" i="7"/>
  <c r="AI232" i="7"/>
  <c r="AI233" i="7"/>
  <c r="AI234" i="7"/>
  <c r="AI235" i="7"/>
  <c r="AI236" i="7"/>
  <c r="AI237" i="7"/>
  <c r="AI238" i="7"/>
  <c r="AI239" i="7"/>
  <c r="AI240" i="7"/>
  <c r="AI241" i="7"/>
  <c r="AI242" i="7"/>
  <c r="AI243" i="7"/>
  <c r="AI244" i="7"/>
  <c r="AI245" i="7"/>
  <c r="AI246" i="7"/>
  <c r="AI247" i="7"/>
  <c r="AI248" i="7"/>
  <c r="AI249" i="7"/>
  <c r="AI250" i="7"/>
  <c r="AI251" i="7"/>
  <c r="AI252" i="7"/>
  <c r="AI253" i="7"/>
  <c r="AI254" i="7"/>
  <c r="AJ70" i="2" l="1"/>
  <c r="M70" i="2" s="1"/>
  <c r="AM236" i="7"/>
  <c r="AM202" i="7"/>
  <c r="AM184" i="7"/>
  <c r="AM258" i="7"/>
  <c r="AM150" i="7"/>
  <c r="AM129" i="7"/>
  <c r="AM259" i="7"/>
  <c r="AM251" i="7"/>
  <c r="AM118" i="7"/>
  <c r="AM255" i="7"/>
  <c r="AM260" i="7"/>
  <c r="AM233" i="7"/>
  <c r="AM232" i="7"/>
  <c r="AM256" i="7"/>
  <c r="AM261" i="7"/>
  <c r="AM230" i="7"/>
  <c r="AM189" i="7"/>
  <c r="AM253" i="7"/>
  <c r="AM185" i="7"/>
  <c r="AM223" i="7"/>
  <c r="AM111" i="7"/>
  <c r="AM106" i="7"/>
  <c r="AM190" i="7"/>
  <c r="AM19" i="7"/>
  <c r="AM241" i="7"/>
  <c r="AM139" i="7"/>
  <c r="AM94" i="7"/>
  <c r="AM174" i="7"/>
  <c r="AM3" i="7"/>
  <c r="AM220" i="7"/>
  <c r="AM167" i="7"/>
  <c r="AM83" i="7"/>
  <c r="AM254" i="7"/>
  <c r="AM213" i="7"/>
  <c r="AM164" i="7"/>
  <c r="AM59" i="7"/>
  <c r="AM209" i="7"/>
  <c r="AM151" i="7"/>
  <c r="AM200" i="7"/>
  <c r="AM226" i="7"/>
  <c r="AM198" i="7"/>
  <c r="AM156" i="7"/>
  <c r="AM93" i="7"/>
  <c r="AM221" i="7"/>
  <c r="AM242" i="7"/>
  <c r="AM186" i="7"/>
  <c r="AM144" i="7"/>
  <c r="AM219" i="7"/>
  <c r="AM23" i="7"/>
  <c r="AM214" i="7"/>
  <c r="AM11" i="7"/>
  <c r="AM235" i="7"/>
  <c r="AM128" i="7"/>
  <c r="AM173" i="7"/>
  <c r="AM196" i="7"/>
  <c r="AM140" i="7"/>
  <c r="AM166" i="7"/>
  <c r="AM133" i="7"/>
  <c r="AM71" i="7"/>
  <c r="AM162" i="7"/>
  <c r="AM231" i="7"/>
  <c r="AM211" i="7"/>
  <c r="AM47" i="7"/>
  <c r="AM246" i="7"/>
  <c r="AM210" i="7"/>
  <c r="AM36" i="7"/>
  <c r="AM155" i="7"/>
  <c r="AM119" i="7"/>
  <c r="AM245" i="7"/>
  <c r="AM152" i="7"/>
  <c r="AM243" i="7"/>
  <c r="AM225" i="7"/>
  <c r="AM175" i="7"/>
  <c r="AM122" i="7"/>
  <c r="AM97" i="7"/>
  <c r="AM87" i="7"/>
  <c r="AM76" i="7"/>
  <c r="AM65" i="7"/>
  <c r="AM52" i="7"/>
  <c r="AM41" i="7"/>
  <c r="AM27" i="7"/>
  <c r="AM15" i="7"/>
  <c r="AM177" i="7"/>
  <c r="AM143" i="7"/>
  <c r="AM132" i="7"/>
  <c r="AM121" i="7"/>
  <c r="AM109" i="7"/>
  <c r="AM96" i="7"/>
  <c r="AM86" i="7"/>
  <c r="AM74" i="7"/>
  <c r="AM64" i="7"/>
  <c r="AM51" i="7"/>
  <c r="AM39" i="7"/>
  <c r="AM26" i="7"/>
  <c r="AM244" i="7"/>
  <c r="AM234" i="7"/>
  <c r="AM224" i="7"/>
  <c r="AM212" i="7"/>
  <c r="AM199" i="7"/>
  <c r="AM188" i="7"/>
  <c r="AM176" i="7"/>
  <c r="AM165" i="7"/>
  <c r="AM153" i="7"/>
  <c r="AM142" i="7"/>
  <c r="AM130" i="7"/>
  <c r="AM120" i="7"/>
  <c r="AM108" i="7"/>
  <c r="AM95" i="7"/>
  <c r="AM85" i="7"/>
  <c r="AM73" i="7"/>
  <c r="AM62" i="7"/>
  <c r="AM50" i="7"/>
  <c r="AM38" i="7"/>
  <c r="AM25" i="7"/>
  <c r="AM13" i="7"/>
  <c r="AM141" i="7"/>
  <c r="AM107" i="7"/>
  <c r="AM84" i="7"/>
  <c r="AM72" i="7"/>
  <c r="AM60" i="7"/>
  <c r="AM48" i="7"/>
  <c r="AM37" i="7"/>
  <c r="AM24" i="7"/>
  <c r="AM12" i="7"/>
  <c r="AM127" i="7"/>
  <c r="AM116" i="7"/>
  <c r="AM104" i="7"/>
  <c r="AM92" i="7"/>
  <c r="AM82" i="7"/>
  <c r="AM70" i="7"/>
  <c r="AM58" i="7"/>
  <c r="AM46" i="7"/>
  <c r="AM34" i="7"/>
  <c r="AM22" i="7"/>
  <c r="AM10" i="7"/>
  <c r="AM195" i="7"/>
  <c r="AM115" i="7"/>
  <c r="AM102" i="7"/>
  <c r="AM91" i="7"/>
  <c r="AM81" i="7"/>
  <c r="AM69" i="7"/>
  <c r="AM57" i="7"/>
  <c r="AM45" i="7"/>
  <c r="AM32" i="7"/>
  <c r="AM20" i="7"/>
  <c r="AM9" i="7"/>
  <c r="AM197" i="7"/>
  <c r="AM160" i="7"/>
  <c r="AM126" i="7"/>
  <c r="AM239" i="7"/>
  <c r="AM229" i="7"/>
  <c r="AM218" i="7"/>
  <c r="AM193" i="7"/>
  <c r="AM182" i="7"/>
  <c r="AM171" i="7"/>
  <c r="AM159" i="7"/>
  <c r="AM148" i="7"/>
  <c r="AM136" i="7"/>
  <c r="AM125" i="7"/>
  <c r="AM114" i="7"/>
  <c r="AM101" i="7"/>
  <c r="AM90" i="7"/>
  <c r="AM68" i="7"/>
  <c r="AM56" i="7"/>
  <c r="AM44" i="7"/>
  <c r="AM31" i="7"/>
  <c r="AM18" i="7"/>
  <c r="AM8" i="7"/>
  <c r="AM183" i="7"/>
  <c r="AM172" i="7"/>
  <c r="AM137" i="7"/>
  <c r="AM249" i="7"/>
  <c r="AM248" i="7"/>
  <c r="AM238" i="7"/>
  <c r="AM228" i="7"/>
  <c r="AM217" i="7"/>
  <c r="AM205" i="7"/>
  <c r="AM192" i="7"/>
  <c r="AM181" i="7"/>
  <c r="AM170" i="7"/>
  <c r="AM158" i="7"/>
  <c r="AM147" i="7"/>
  <c r="AM135" i="7"/>
  <c r="AM113" i="7"/>
  <c r="AM100" i="7"/>
  <c r="AM89" i="7"/>
  <c r="AM79" i="7"/>
  <c r="AM67" i="7"/>
  <c r="AM55" i="7"/>
  <c r="AM43" i="7"/>
  <c r="AM30" i="7"/>
  <c r="AM17" i="7"/>
  <c r="AM6" i="7"/>
  <c r="AM240" i="7"/>
  <c r="AM207" i="7"/>
  <c r="AM149" i="7"/>
  <c r="AM247" i="7"/>
  <c r="AM237" i="7"/>
  <c r="AM227" i="7"/>
  <c r="AM216" i="7"/>
  <c r="AM191" i="7"/>
  <c r="AM179" i="7"/>
  <c r="AM169" i="7"/>
  <c r="AM146" i="7"/>
  <c r="AM134" i="7"/>
  <c r="AM123" i="7"/>
  <c r="AM112" i="7"/>
  <c r="AM78" i="7"/>
  <c r="AM53" i="7"/>
  <c r="AM203" i="7"/>
  <c r="AM103" i="7"/>
  <c r="AM63" i="7"/>
  <c r="AM33" i="7"/>
  <c r="AM252" i="7"/>
  <c r="AM222" i="7"/>
  <c r="AM201" i="7"/>
  <c r="AM161" i="7"/>
  <c r="AM131" i="7"/>
  <c r="AM61" i="7"/>
  <c r="AM21" i="7"/>
  <c r="AM250" i="7"/>
  <c r="AM180" i="7"/>
  <c r="AM110" i="7"/>
  <c r="AM40" i="7"/>
  <c r="AM49" i="7"/>
  <c r="AM208" i="7"/>
  <c r="AM168" i="7"/>
  <c r="AM138" i="7"/>
  <c r="AM98" i="7"/>
  <c r="AM28" i="7"/>
  <c r="AM187" i="7"/>
  <c r="AM117" i="7"/>
  <c r="AM77" i="7"/>
  <c r="AM7" i="7"/>
  <c r="AM215" i="7"/>
  <c r="AM145" i="7"/>
  <c r="AM105" i="7"/>
  <c r="AM75" i="7"/>
  <c r="AM35" i="7"/>
  <c r="AM5" i="7"/>
  <c r="AM194" i="7"/>
  <c r="AJ71" i="2"/>
  <c r="F71" i="2" s="1"/>
  <c r="AJ76" i="2"/>
  <c r="F76" i="2" s="1"/>
  <c r="AJ62" i="2"/>
  <c r="H62" i="2" s="1"/>
  <c r="AJ79" i="2"/>
  <c r="H79" i="2" s="1"/>
  <c r="AJ72" i="2"/>
  <c r="Y72" i="2" s="1"/>
  <c r="AJ73" i="2"/>
  <c r="F73" i="2" s="1"/>
  <c r="AJ78" i="2"/>
  <c r="F78" i="2" s="1"/>
  <c r="AJ63" i="2"/>
  <c r="F63" i="2" s="1"/>
  <c r="AJ65" i="2"/>
  <c r="Y65" i="2" s="1"/>
  <c r="AJ66" i="2"/>
  <c r="Y66" i="2" s="1"/>
  <c r="AJ64" i="2"/>
  <c r="E64" i="2" s="1"/>
  <c r="AJ67" i="2"/>
  <c r="M67" i="2" s="1"/>
  <c r="AJ82" i="2"/>
  <c r="Y82" i="2" s="1"/>
  <c r="AJ81" i="2"/>
  <c r="F81" i="2" s="1"/>
  <c r="AJ83" i="2"/>
  <c r="F83" i="2" s="1"/>
  <c r="AJ84" i="2"/>
  <c r="F84" i="2" s="1"/>
  <c r="AJ74" i="2"/>
  <c r="M74" i="2" s="1"/>
  <c r="AJ58" i="2"/>
  <c r="D58" i="2" s="1"/>
  <c r="AJ60" i="2"/>
  <c r="H60" i="2" s="1"/>
  <c r="H68" i="2"/>
  <c r="D71" i="2"/>
  <c r="Y75" i="2"/>
  <c r="F79" i="2"/>
  <c r="Y80" i="2"/>
  <c r="D65" i="2"/>
  <c r="M66" i="2"/>
  <c r="M68" i="2"/>
  <c r="Y68" i="2"/>
  <c r="E62" i="2"/>
  <c r="H71" i="2"/>
  <c r="F62" i="2"/>
  <c r="H65" i="2"/>
  <c r="E67" i="2"/>
  <c r="D70" i="2"/>
  <c r="M71" i="2"/>
  <c r="E70" i="2"/>
  <c r="Y71" i="2"/>
  <c r="D75" i="2"/>
  <c r="D80" i="2"/>
  <c r="F70" i="2"/>
  <c r="E75" i="2"/>
  <c r="E80" i="2"/>
  <c r="Y62" i="2"/>
  <c r="D68" i="2"/>
  <c r="H70" i="2"/>
  <c r="F75" i="2"/>
  <c r="F80" i="2"/>
  <c r="E68" i="2"/>
  <c r="H75" i="2"/>
  <c r="H80" i="2"/>
  <c r="F66" i="2"/>
  <c r="F68" i="2"/>
  <c r="Y70" i="2"/>
  <c r="M75" i="2"/>
  <c r="M80" i="2"/>
  <c r="AJ55" i="2"/>
  <c r="D55" i="2" s="1"/>
  <c r="AJ57" i="2"/>
  <c r="F57" i="2" s="1"/>
  <c r="AJ59" i="2"/>
  <c r="Y59" i="2" s="1"/>
  <c r="AJ56" i="2"/>
  <c r="M56" i="2" s="1"/>
  <c r="F54" i="2"/>
  <c r="E54" i="2"/>
  <c r="D54" i="2"/>
  <c r="Y54" i="2"/>
  <c r="M54" i="2"/>
  <c r="H54" i="2"/>
  <c r="U29" i="2"/>
  <c r="V29" i="2"/>
  <c r="V19" i="2"/>
  <c r="U19" i="2"/>
  <c r="B80" i="1"/>
  <c r="AW83" i="1" s="1"/>
  <c r="R21" i="1"/>
  <c r="B72" i="1"/>
  <c r="AW71" i="1" s="1"/>
  <c r="Q21" i="1"/>
  <c r="B64" i="1"/>
  <c r="AW63" i="1" s="1"/>
  <c r="R11" i="1"/>
  <c r="B56" i="1"/>
  <c r="AW57" i="1" s="1"/>
  <c r="Q11" i="1"/>
  <c r="B78" i="1"/>
  <c r="B70" i="1"/>
  <c r="B62" i="1"/>
  <c r="B54" i="1"/>
  <c r="D66" i="2" l="1"/>
  <c r="H64" i="2"/>
  <c r="D64" i="2"/>
  <c r="Y64" i="2"/>
  <c r="F64" i="2"/>
  <c r="E66" i="2"/>
  <c r="M65" i="2"/>
  <c r="F65" i="2"/>
  <c r="E71" i="2"/>
  <c r="E76" i="2"/>
  <c r="M76" i="2"/>
  <c r="D76" i="2"/>
  <c r="Y76" i="2"/>
  <c r="H66" i="2"/>
  <c r="M64" i="2"/>
  <c r="M62" i="2"/>
  <c r="H82" i="2"/>
  <c r="E74" i="2"/>
  <c r="E72" i="2"/>
  <c r="Y73" i="2"/>
  <c r="D74" i="2"/>
  <c r="F74" i="2"/>
  <c r="E84" i="2"/>
  <c r="M72" i="2"/>
  <c r="M63" i="2"/>
  <c r="D62" i="2"/>
  <c r="E63" i="2"/>
  <c r="D63" i="2"/>
  <c r="H63" i="2"/>
  <c r="H76" i="2"/>
  <c r="Y74" i="2"/>
  <c r="E73" i="2"/>
  <c r="E78" i="2"/>
  <c r="Y84" i="2"/>
  <c r="M79" i="2"/>
  <c r="Y63" i="2"/>
  <c r="E79" i="2"/>
  <c r="H84" i="2"/>
  <c r="H74" i="2"/>
  <c r="E65" i="2"/>
  <c r="H58" i="2"/>
  <c r="Y55" i="2"/>
  <c r="Y60" i="2"/>
  <c r="D59" i="2"/>
  <c r="H57" i="2"/>
  <c r="D57" i="2"/>
  <c r="AW62" i="1"/>
  <c r="E62" i="1" s="1"/>
  <c r="AW81" i="1"/>
  <c r="M81" i="1" s="1"/>
  <c r="AW68" i="1"/>
  <c r="D68" i="1" s="1"/>
  <c r="AW67" i="1"/>
  <c r="E67" i="1" s="1"/>
  <c r="E83" i="2"/>
  <c r="Y83" i="2"/>
  <c r="E82" i="2"/>
  <c r="H73" i="2"/>
  <c r="Y79" i="2"/>
  <c r="M82" i="2"/>
  <c r="Y78" i="2"/>
  <c r="D73" i="2"/>
  <c r="F82" i="2"/>
  <c r="D72" i="2"/>
  <c r="H83" i="2"/>
  <c r="D67" i="2"/>
  <c r="D78" i="2"/>
  <c r="H72" i="2"/>
  <c r="M73" i="2"/>
  <c r="D82" i="2"/>
  <c r="H78" i="2"/>
  <c r="F72" i="2"/>
  <c r="M78" i="2"/>
  <c r="M81" i="2"/>
  <c r="D81" i="2"/>
  <c r="E81" i="2"/>
  <c r="F67" i="2"/>
  <c r="D79" i="2"/>
  <c r="H81" i="2"/>
  <c r="H67" i="2"/>
  <c r="Y67" i="2"/>
  <c r="M60" i="2"/>
  <c r="M59" i="2"/>
  <c r="E60" i="2"/>
  <c r="Y56" i="2"/>
  <c r="Y58" i="2"/>
  <c r="H59" i="2"/>
  <c r="F58" i="2"/>
  <c r="M58" i="2"/>
  <c r="F59" i="2"/>
  <c r="E58" i="2"/>
  <c r="F60" i="2"/>
  <c r="H56" i="2"/>
  <c r="E59" i="2"/>
  <c r="D60" i="2"/>
  <c r="D83" i="2"/>
  <c r="M83" i="2"/>
  <c r="Y81" i="2"/>
  <c r="D84" i="2"/>
  <c r="M84" i="2"/>
  <c r="Z83" i="1"/>
  <c r="F83" i="1"/>
  <c r="D83" i="1"/>
  <c r="M83" i="1"/>
  <c r="E83" i="1"/>
  <c r="H83" i="1"/>
  <c r="AW82" i="1"/>
  <c r="AW78" i="1"/>
  <c r="AW79" i="1"/>
  <c r="AW84" i="1"/>
  <c r="AW80" i="1"/>
  <c r="M63" i="1"/>
  <c r="D63" i="1"/>
  <c r="H63" i="1"/>
  <c r="Z63" i="1"/>
  <c r="E63" i="1"/>
  <c r="F63" i="1"/>
  <c r="AW66" i="1"/>
  <c r="AW65" i="1"/>
  <c r="AW64" i="1"/>
  <c r="F55" i="2"/>
  <c r="H55" i="2"/>
  <c r="E57" i="2"/>
  <c r="E55" i="2"/>
  <c r="M55" i="2"/>
  <c r="M57" i="2"/>
  <c r="Y57" i="2"/>
  <c r="D56" i="2"/>
  <c r="F56" i="2"/>
  <c r="E56" i="2"/>
  <c r="Z71" i="1"/>
  <c r="M71" i="1"/>
  <c r="F71" i="1"/>
  <c r="D71" i="1"/>
  <c r="H71" i="1"/>
  <c r="E71" i="1"/>
  <c r="AW70" i="1"/>
  <c r="AW75" i="1"/>
  <c r="AW73" i="1"/>
  <c r="AW76" i="1"/>
  <c r="AW74" i="1"/>
  <c r="AW72" i="1"/>
  <c r="Z57" i="1"/>
  <c r="E57" i="1"/>
  <c r="F57" i="1"/>
  <c r="H57" i="1"/>
  <c r="M57" i="1"/>
  <c r="D57" i="1"/>
  <c r="AW56" i="1"/>
  <c r="AW55" i="1"/>
  <c r="AW54" i="1"/>
  <c r="AW60" i="1"/>
  <c r="AW58" i="1"/>
  <c r="AW59" i="1"/>
  <c r="T12" i="1"/>
  <c r="V12" i="1" s="1"/>
  <c r="T22" i="1"/>
  <c r="V22" i="1" s="1"/>
  <c r="T23" i="1"/>
  <c r="V23" i="1" s="1"/>
  <c r="T24" i="1"/>
  <c r="V24" i="1" s="1"/>
  <c r="T25" i="1"/>
  <c r="V25" i="1" s="1"/>
  <c r="T26" i="1"/>
  <c r="V26" i="1" s="1"/>
  <c r="T27" i="1"/>
  <c r="V27" i="1" s="1"/>
  <c r="T28" i="1"/>
  <c r="V28" i="1" s="1"/>
  <c r="T13" i="1"/>
  <c r="V13" i="1" s="1"/>
  <c r="T14" i="1"/>
  <c r="V14" i="1" s="1"/>
  <c r="T15" i="1"/>
  <c r="V15" i="1" s="1"/>
  <c r="T16" i="1"/>
  <c r="V16" i="1" s="1"/>
  <c r="T17" i="1"/>
  <c r="V17" i="1" s="1"/>
  <c r="T18" i="1"/>
  <c r="V18" i="1" s="1"/>
  <c r="U12" i="1"/>
  <c r="S13" i="1"/>
  <c r="U13" i="1" s="1"/>
  <c r="S14" i="1"/>
  <c r="U14" i="1" s="1"/>
  <c r="S15" i="1"/>
  <c r="U15" i="1" s="1"/>
  <c r="S16" i="1"/>
  <c r="U16" i="1" s="1"/>
  <c r="S17" i="1"/>
  <c r="U17" i="1" s="1"/>
  <c r="S18" i="1"/>
  <c r="U18" i="1" s="1"/>
  <c r="S28" i="1"/>
  <c r="U28" i="1" s="1"/>
  <c r="S27" i="1"/>
  <c r="U27" i="1" s="1"/>
  <c r="S26" i="1"/>
  <c r="U26" i="1" s="1"/>
  <c r="S25" i="1"/>
  <c r="U25" i="1" s="1"/>
  <c r="S24" i="1"/>
  <c r="U24" i="1" s="1"/>
  <c r="S23" i="1"/>
  <c r="U23" i="1" s="1"/>
  <c r="S22" i="1"/>
  <c r="U22" i="1" s="1"/>
  <c r="AG6" i="7"/>
  <c r="AG7" i="7" s="1"/>
  <c r="AG8" i="7" s="1"/>
  <c r="AG9" i="7" s="1"/>
  <c r="AG10" i="7" s="1"/>
  <c r="AG2" i="7"/>
  <c r="AG3" i="7" s="1"/>
  <c r="G14" i="7"/>
  <c r="G15" i="7"/>
  <c r="G16" i="7"/>
  <c r="G17" i="7"/>
  <c r="G13" i="7"/>
  <c r="F14" i="7"/>
  <c r="F15" i="7"/>
  <c r="F16" i="7"/>
  <c r="F17" i="7"/>
  <c r="F13" i="7"/>
  <c r="E14" i="7"/>
  <c r="E15" i="7"/>
  <c r="E16" i="7"/>
  <c r="E17" i="7"/>
  <c r="E13" i="7"/>
  <c r="D13" i="7"/>
  <c r="D14" i="7"/>
  <c r="D15" i="7"/>
  <c r="D16" i="7"/>
  <c r="D17" i="7"/>
  <c r="C17" i="7"/>
  <c r="C14" i="7"/>
  <c r="C15" i="7"/>
  <c r="C16" i="7"/>
  <c r="C13" i="7"/>
  <c r="E81" i="1" l="1"/>
  <c r="H81" i="1"/>
  <c r="F81" i="1"/>
  <c r="D62" i="1"/>
  <c r="D81" i="1"/>
  <c r="Z81" i="1"/>
  <c r="H62" i="1"/>
  <c r="E68" i="1"/>
  <c r="Z62" i="1"/>
  <c r="F62" i="1"/>
  <c r="M68" i="1"/>
  <c r="Z68" i="1"/>
  <c r="H68" i="1"/>
  <c r="M67" i="1"/>
  <c r="F68" i="1"/>
  <c r="M62" i="1"/>
  <c r="H67" i="1"/>
  <c r="Z67" i="1"/>
  <c r="D67" i="1"/>
  <c r="F67" i="1"/>
  <c r="H82" i="1"/>
  <c r="E82" i="1"/>
  <c r="F82" i="1"/>
  <c r="M82" i="1"/>
  <c r="D82" i="1"/>
  <c r="Z82" i="1"/>
  <c r="H79" i="1"/>
  <c r="F79" i="1"/>
  <c r="D79" i="1"/>
  <c r="E79" i="1"/>
  <c r="M79" i="1"/>
  <c r="Z79" i="1"/>
  <c r="F78" i="1"/>
  <c r="E78" i="1"/>
  <c r="M78" i="1"/>
  <c r="H78" i="1"/>
  <c r="D78" i="1"/>
  <c r="Z78" i="1"/>
  <c r="D80" i="1"/>
  <c r="M80" i="1"/>
  <c r="E80" i="1"/>
  <c r="Z80" i="1"/>
  <c r="F80" i="1"/>
  <c r="H80" i="1"/>
  <c r="H84" i="1"/>
  <c r="F84" i="1"/>
  <c r="Z84" i="1"/>
  <c r="E84" i="1"/>
  <c r="M84" i="1"/>
  <c r="D84" i="1"/>
  <c r="H65" i="1"/>
  <c r="D65" i="1"/>
  <c r="M65" i="1"/>
  <c r="E65" i="1"/>
  <c r="Z65" i="1"/>
  <c r="F65" i="1"/>
  <c r="H64" i="1"/>
  <c r="Z64" i="1"/>
  <c r="D64" i="1"/>
  <c r="E64" i="1"/>
  <c r="M64" i="1"/>
  <c r="F64" i="1"/>
  <c r="H66" i="1"/>
  <c r="M66" i="1"/>
  <c r="F66" i="1"/>
  <c r="Z66" i="1"/>
  <c r="D66" i="1"/>
  <c r="E66" i="1"/>
  <c r="H70" i="1"/>
  <c r="F70" i="1"/>
  <c r="E70" i="1"/>
  <c r="D70" i="1"/>
  <c r="Z70" i="1"/>
  <c r="M70" i="1"/>
  <c r="Z75" i="1"/>
  <c r="E75" i="1"/>
  <c r="M75" i="1"/>
  <c r="F75" i="1"/>
  <c r="H75" i="1"/>
  <c r="D75" i="1"/>
  <c r="H72" i="1"/>
  <c r="E72" i="1"/>
  <c r="Z72" i="1"/>
  <c r="M72" i="1"/>
  <c r="F72" i="1"/>
  <c r="D72" i="1"/>
  <c r="H74" i="1"/>
  <c r="D74" i="1"/>
  <c r="F74" i="1"/>
  <c r="E74" i="1"/>
  <c r="Z74" i="1"/>
  <c r="M74" i="1"/>
  <c r="H76" i="1"/>
  <c r="Z76" i="1"/>
  <c r="M76" i="1"/>
  <c r="F76" i="1"/>
  <c r="E76" i="1"/>
  <c r="D76" i="1"/>
  <c r="E73" i="1"/>
  <c r="M73" i="1"/>
  <c r="D73" i="1"/>
  <c r="Z73" i="1"/>
  <c r="H73" i="1"/>
  <c r="F73" i="1"/>
  <c r="F55" i="1"/>
  <c r="M55" i="1"/>
  <c r="D55" i="1"/>
  <c r="Z55" i="1"/>
  <c r="H55" i="1"/>
  <c r="E55" i="1"/>
  <c r="F56" i="1"/>
  <c r="H56" i="1"/>
  <c r="M56" i="1"/>
  <c r="D56" i="1"/>
  <c r="Z56" i="1"/>
  <c r="E56" i="1"/>
  <c r="H58" i="1"/>
  <c r="Z58" i="1"/>
  <c r="E58" i="1"/>
  <c r="F58" i="1"/>
  <c r="M58" i="1"/>
  <c r="D58" i="1"/>
  <c r="M59" i="1"/>
  <c r="D59" i="1"/>
  <c r="F59" i="1"/>
  <c r="H59" i="1"/>
  <c r="Z59" i="1"/>
  <c r="E59" i="1"/>
  <c r="Z60" i="1"/>
  <c r="E60" i="1"/>
  <c r="M60" i="1"/>
  <c r="D60" i="1"/>
  <c r="F60" i="1"/>
  <c r="H60" i="1"/>
  <c r="E54" i="1"/>
  <c r="Z54" i="1"/>
  <c r="F54" i="1"/>
  <c r="D54" i="1"/>
  <c r="M54" i="1"/>
  <c r="H54" i="1"/>
  <c r="U29" i="1"/>
  <c r="V29" i="1"/>
  <c r="U19" i="1"/>
  <c r="V19" i="1"/>
  <c r="N28" i="1"/>
  <c r="O26" i="2"/>
  <c r="N26" i="2"/>
  <c r="N24" i="2"/>
  <c r="N20" i="2"/>
  <c r="N17" i="2"/>
  <c r="N16" i="2"/>
  <c r="O28" i="2"/>
  <c r="N28" i="2"/>
  <c r="L12" i="1"/>
  <c r="M12" i="1"/>
  <c r="L13" i="1"/>
  <c r="M13" i="1"/>
  <c r="AB89" i="9"/>
  <c r="O31" i="2"/>
  <c r="N31" i="2"/>
  <c r="O31" i="1"/>
  <c r="N31" i="1"/>
  <c r="G19" i="2"/>
  <c r="E19" i="2"/>
  <c r="C19" i="2"/>
  <c r="C19" i="1"/>
  <c r="G19" i="1"/>
  <c r="E19" i="1"/>
  <c r="L22" i="1"/>
  <c r="N22" i="1" s="1"/>
  <c r="M13" i="2"/>
  <c r="M12" i="2"/>
  <c r="L13" i="2"/>
  <c r="L12" i="2"/>
  <c r="L19" i="1"/>
  <c r="L19" i="2"/>
  <c r="N19" i="2" s="1"/>
  <c r="B33" i="2"/>
  <c r="A90" i="9" l="1"/>
  <c r="A90" i="8"/>
  <c r="AB89" i="8"/>
  <c r="D29" i="2"/>
  <c r="B33" i="4"/>
  <c r="I24" i="4"/>
  <c r="B33" i="3"/>
  <c r="O32" i="2"/>
  <c r="O30" i="2"/>
  <c r="O29" i="2"/>
  <c r="O27" i="2"/>
  <c r="N32" i="2"/>
  <c r="N30" i="2"/>
  <c r="N29" i="2"/>
  <c r="N27" i="2"/>
  <c r="N18" i="2"/>
  <c r="O14" i="2"/>
  <c r="N14" i="2"/>
  <c r="O13" i="2"/>
  <c r="N13" i="2"/>
  <c r="O12" i="2"/>
  <c r="N12" i="2"/>
  <c r="K40" i="4" l="1"/>
  <c r="K40" i="3"/>
  <c r="F45" i="2"/>
  <c r="F44" i="2"/>
  <c r="B44" i="2"/>
  <c r="AD19" i="2"/>
  <c r="L23" i="2" s="1"/>
  <c r="N23" i="2" s="1"/>
  <c r="N34" i="2" s="1"/>
  <c r="AG18" i="2"/>
  <c r="AF18" i="2"/>
  <c r="Y14" i="2" s="1"/>
  <c r="AA14" i="2" s="1"/>
  <c r="AE17" i="2"/>
  <c r="AG17" i="2" s="1"/>
  <c r="AH17" i="2" s="1"/>
  <c r="Y15" i="2"/>
  <c r="AA15" i="2" s="1"/>
  <c r="AE15" i="2"/>
  <c r="Y13" i="2"/>
  <c r="AA13" i="2" s="1"/>
  <c r="AE13" i="2"/>
  <c r="Y12" i="2"/>
  <c r="AA12" i="2" s="1"/>
  <c r="Z11" i="2"/>
  <c r="Y11" i="2"/>
  <c r="B45" i="2"/>
  <c r="AD20" i="2" l="1"/>
  <c r="O24" i="4"/>
  <c r="Y16" i="2"/>
  <c r="AK16" i="2" s="1"/>
  <c r="AH18" i="2"/>
  <c r="F23" i="2"/>
  <c r="AF13" i="2"/>
  <c r="AA11" i="2"/>
  <c r="AA16" i="2" s="1"/>
  <c r="AF17" i="2"/>
  <c r="Y17" i="2" s="1"/>
  <c r="AA17" i="2" s="1"/>
  <c r="B6" i="2" l="1"/>
  <c r="L34" i="2"/>
  <c r="K45" i="2" s="1"/>
  <c r="Y20" i="2"/>
  <c r="AL16" i="2" s="1"/>
  <c r="AJ16" i="2" s="1"/>
  <c r="AA18" i="2"/>
  <c r="AN16" i="2"/>
  <c r="AN20" i="2"/>
  <c r="Y18" i="2"/>
  <c r="AK17" i="2" s="1"/>
  <c r="K40" i="2" l="1"/>
  <c r="K36" i="2" a="1"/>
  <c r="K36" i="2" s="1"/>
  <c r="K44" i="2"/>
  <c r="AN17" i="2"/>
  <c r="AN21" i="2"/>
  <c r="AN24" i="2"/>
  <c r="AA20" i="2"/>
  <c r="AL17" i="2" s="1"/>
  <c r="AM16" i="2"/>
  <c r="AM20" i="2"/>
  <c r="AM24" i="2" l="1"/>
  <c r="AM21" i="2"/>
  <c r="AJ17" i="2"/>
  <c r="AM17" i="2"/>
  <c r="AN25" i="2"/>
  <c r="AM25" i="2" l="1"/>
  <c r="AO14" i="2" s="1"/>
  <c r="X22" i="2" s="1"/>
  <c r="B12" i="2" s="1"/>
  <c r="O30" i="1" l="1"/>
  <c r="O29" i="1"/>
  <c r="O28" i="1"/>
  <c r="O27" i="1"/>
  <c r="O26" i="1"/>
  <c r="N32" i="1"/>
  <c r="N30" i="1"/>
  <c r="N29" i="1"/>
  <c r="N27" i="1"/>
  <c r="N26" i="1"/>
  <c r="N24" i="1"/>
  <c r="N20" i="1"/>
  <c r="N19" i="1"/>
  <c r="N18" i="1"/>
  <c r="N17" i="1"/>
  <c r="N16" i="1"/>
  <c r="N14" i="1"/>
  <c r="N13" i="1"/>
  <c r="O14" i="1"/>
  <c r="O13" i="1"/>
  <c r="O12" i="1"/>
  <c r="N12" i="1"/>
  <c r="F45" i="1"/>
  <c r="F44" i="1"/>
  <c r="B44" i="1"/>
  <c r="D29" i="1"/>
  <c r="F23" i="1"/>
  <c r="AE22" i="1"/>
  <c r="L23" i="1" s="1"/>
  <c r="AG21" i="1"/>
  <c r="AH21" i="1" s="1"/>
  <c r="AF20" i="1"/>
  <c r="AG20" i="1" s="1"/>
  <c r="AF18" i="1"/>
  <c r="Z17" i="1" s="1"/>
  <c r="AB17" i="1" s="1"/>
  <c r="AF17" i="1"/>
  <c r="Z16" i="1" s="1"/>
  <c r="AB16" i="1" s="1"/>
  <c r="AF16" i="1"/>
  <c r="AF15" i="1"/>
  <c r="AF14" i="1"/>
  <c r="Z13" i="1" s="1"/>
  <c r="AB13" i="1" s="1"/>
  <c r="AF13" i="1"/>
  <c r="Z12" i="1" s="1"/>
  <c r="AB12" i="1" s="1"/>
  <c r="AA11" i="1"/>
  <c r="Z11" i="1"/>
  <c r="B45" i="1" l="1"/>
  <c r="AE23" i="1"/>
  <c r="N23" i="1"/>
  <c r="O32" i="1"/>
  <c r="AG15" i="1"/>
  <c r="AG17" i="1"/>
  <c r="AB11" i="1"/>
  <c r="AG13" i="1"/>
  <c r="Z14" i="1"/>
  <c r="AB14" i="1" s="1"/>
  <c r="Z19" i="1"/>
  <c r="AH20" i="1"/>
  <c r="Z15" i="1"/>
  <c r="AB15" i="1" s="1"/>
  <c r="N34" i="1" l="1"/>
  <c r="AB18" i="1"/>
  <c r="Z18" i="1"/>
  <c r="AK17" i="1" s="1"/>
  <c r="AN17" i="1" s="1"/>
  <c r="AH13" i="1"/>
  <c r="AB19" i="1"/>
  <c r="B6" i="1" l="1"/>
  <c r="L34" i="1"/>
  <c r="K45" i="1" s="1"/>
  <c r="Z22" i="1"/>
  <c r="AJ17" i="1" s="1"/>
  <c r="AM17" i="1" s="1"/>
  <c r="AB20" i="1"/>
  <c r="Z20" i="1"/>
  <c r="AK18" i="1" s="1"/>
  <c r="AN18" i="1" s="1"/>
  <c r="K44" i="1" l="1"/>
  <c r="K40" i="1"/>
  <c r="K36" i="1" a="1"/>
  <c r="K36" i="1" s="1"/>
  <c r="AB22" i="1"/>
  <c r="AJ18" i="1" s="1"/>
  <c r="AM18" i="1" s="1"/>
  <c r="AO15" i="1" s="1"/>
  <c r="Y24" i="1" s="1"/>
  <c r="B12"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<sst xmlns="http://schemas.openxmlformats.org/spreadsheetml/2006/main" count="4769" uniqueCount="961">
  <si>
    <t>FORMATO</t>
  </si>
  <si>
    <t>INFORMACIÓN GENERAL DEL VUELO</t>
  </si>
  <si>
    <t>DATOS PARA CÁLCULO</t>
  </si>
  <si>
    <t>NORMAL</t>
  </si>
  <si>
    <t>UTILITARIA</t>
  </si>
  <si>
    <t>Fecha</t>
  </si>
  <si>
    <t>Tipo Aeronave</t>
  </si>
  <si>
    <t>CESSNA 172 R/S</t>
  </si>
  <si>
    <t>Matrícula</t>
  </si>
  <si>
    <t>NOMBRE</t>
  </si>
  <si>
    <t>LICENCIA</t>
  </si>
  <si>
    <t>X</t>
  </si>
  <si>
    <t>Y</t>
  </si>
  <si>
    <t>Origen</t>
  </si>
  <si>
    <t>Destino</t>
  </si>
  <si>
    <t>Ruta</t>
  </si>
  <si>
    <t>Alterno 1</t>
  </si>
  <si>
    <t>Alterno 2</t>
  </si>
  <si>
    <t>Piloto Estudiante</t>
  </si>
  <si>
    <t>DOCUMENTOS BÁSICOS</t>
  </si>
  <si>
    <t>DISTRIBUCIÓN DE PESO</t>
  </si>
  <si>
    <t>PESO ( LBS )</t>
  </si>
  <si>
    <t>BRAZO ( M )</t>
  </si>
  <si>
    <t>MOMENTO</t>
  </si>
  <si>
    <t>PARA EL VUELO</t>
  </si>
  <si>
    <t>ESTUDIANTE</t>
  </si>
  <si>
    <t>INSTRUCTOR</t>
  </si>
  <si>
    <t>Aeronave</t>
  </si>
  <si>
    <t>PESO ( KG )</t>
  </si>
  <si>
    <t>PESO TOTAL ( LBS )</t>
  </si>
  <si>
    <t>Peso y Balance</t>
  </si>
  <si>
    <t>Circulares Operativas</t>
  </si>
  <si>
    <t>Licencia</t>
  </si>
  <si>
    <t>Plan de Vuelo</t>
  </si>
  <si>
    <t>SMS - Boletines / Alertas</t>
  </si>
  <si>
    <t>Certificado Médico</t>
  </si>
  <si>
    <t>Policía Antinarcóticos</t>
  </si>
  <si>
    <t>Restricciones</t>
  </si>
  <si>
    <t>Pax 1</t>
  </si>
  <si>
    <t>VALIDACION</t>
  </si>
  <si>
    <t>Combustible</t>
  </si>
  <si>
    <t>Pax 2</t>
  </si>
  <si>
    <t>CG</t>
  </si>
  <si>
    <t>PESO</t>
  </si>
  <si>
    <t>ORIGEN</t>
  </si>
  <si>
    <t>DESTINO</t>
  </si>
  <si>
    <t>ALTERNOS</t>
  </si>
  <si>
    <t>ANÁLISIS RUTA</t>
  </si>
  <si>
    <t>Bodega 1 ( 120 Lb Max )</t>
  </si>
  <si>
    <t>TO</t>
  </si>
  <si>
    <t>METAR</t>
  </si>
  <si>
    <t>Altitudes Mínimas</t>
  </si>
  <si>
    <t>Bodega 2 ( 50 Lb Max )</t>
  </si>
  <si>
    <t>LNDG</t>
  </si>
  <si>
    <t>TAF</t>
  </si>
  <si>
    <t>Alternos en Ruta</t>
  </si>
  <si>
    <t>TOW</t>
  </si>
  <si>
    <t>Tiempo de Vuelo ( Min )</t>
  </si>
  <si>
    <t>GLS</t>
  </si>
  <si>
    <t>LBS</t>
  </si>
  <si>
    <t>KG</t>
  </si>
  <si>
    <t>NOTAM</t>
  </si>
  <si>
    <t>Áreas Restringidas Prohibidas</t>
  </si>
  <si>
    <t>Combustible Básico ( - )</t>
  </si>
  <si>
    <t>Combustible Básico</t>
  </si>
  <si>
    <t>El piloto instructor asegura que recibe en buenas condiciones el equipo EFB asignado y se hace responsable del cuidado y seguridad del msmo.</t>
  </si>
  <si>
    <t>Imagen de Satélite</t>
  </si>
  <si>
    <t>LDW</t>
  </si>
  <si>
    <t>Combustible Indicado Salida</t>
  </si>
  <si>
    <t>EQUIPO DE VUELO</t>
  </si>
  <si>
    <t>PREVUELO AERONAVE</t>
  </si>
  <si>
    <t>CG: MOMENTO / PESO</t>
  </si>
  <si>
    <t>Autonomía Final ( Min )</t>
  </si>
  <si>
    <t>PLANEAMIENTO                /                        EFB´s</t>
  </si>
  <si>
    <t>NIVELES Y EQUIPO</t>
  </si>
  <si>
    <t>INSPECCIÓN</t>
  </si>
  <si>
    <t xml:space="preserve">C.G T/O: </t>
  </si>
  <si>
    <t>C.G LDG:</t>
  </si>
  <si>
    <t>Autonomía Final ( Horas )</t>
  </si>
  <si>
    <t>Plan de Navegación</t>
  </si>
  <si>
    <t>Combustible en Galones</t>
  </si>
  <si>
    <t>Pre-vuelo Estudiante</t>
  </si>
  <si>
    <t>GRÁFICA CG - PESO Y BALANCE</t>
  </si>
  <si>
    <t>Cartas AIP</t>
  </si>
  <si>
    <t>Equipo de Emergencia</t>
  </si>
  <si>
    <t>DATOS AERONAVES</t>
  </si>
  <si>
    <t>FASE</t>
  </si>
  <si>
    <t>RESTRIC</t>
  </si>
  <si>
    <t>CRITERIOS</t>
  </si>
  <si>
    <t>SOLO</t>
  </si>
  <si>
    <t>DOBLE</t>
  </si>
  <si>
    <t>EFB</t>
  </si>
  <si>
    <t>Equipo de Vuelo</t>
  </si>
  <si>
    <t>Cantidad Aceite *</t>
  </si>
  <si>
    <t>AERONAVE</t>
  </si>
  <si>
    <t>SERIE</t>
  </si>
  <si>
    <t>SELLO</t>
  </si>
  <si>
    <t>BRAZ0</t>
  </si>
  <si>
    <t>PS</t>
  </si>
  <si>
    <t>SI</t>
  </si>
  <si>
    <t>✓</t>
  </si>
  <si>
    <t>✕</t>
  </si>
  <si>
    <t>Cartas L26 / K26</t>
  </si>
  <si>
    <t>Reserva de Aceite **</t>
  </si>
  <si>
    <t>* = Primer Vuelo</t>
  </si>
  <si>
    <t>HK-5182G</t>
  </si>
  <si>
    <t>004-053</t>
  </si>
  <si>
    <t>MD</t>
  </si>
  <si>
    <t>NO</t>
  </si>
  <si>
    <t>EFB´s  - Condición</t>
  </si>
  <si>
    <t>EFB´s - Cargador</t>
  </si>
  <si>
    <t>Limpiavidrios y paños **</t>
  </si>
  <si>
    <t>** = Comisión</t>
  </si>
  <si>
    <t>HK-5187G</t>
  </si>
  <si>
    <t>004-257</t>
  </si>
  <si>
    <t>MS</t>
  </si>
  <si>
    <t>N/A</t>
  </si>
  <si>
    <t>CD</t>
  </si>
  <si>
    <t>DATOS PILOTOS</t>
  </si>
  <si>
    <t>CS</t>
  </si>
  <si>
    <t>CAPITAN</t>
  </si>
  <si>
    <t>IFR</t>
  </si>
  <si>
    <t>Conocimiento Lección</t>
  </si>
  <si>
    <t>Retroalimentación Lección</t>
  </si>
  <si>
    <t>NOC</t>
  </si>
  <si>
    <t>¿Autoriza Tripadi?</t>
  </si>
  <si>
    <t>ADAP</t>
  </si>
  <si>
    <t>OBSERVACIONES</t>
  </si>
  <si>
    <t>Gabriel Restrepo</t>
  </si>
  <si>
    <t>IVA 71742422</t>
  </si>
  <si>
    <t>Firma Piloto Estudiante</t>
  </si>
  <si>
    <t>Firma</t>
  </si>
  <si>
    <t>RIESGO</t>
  </si>
  <si>
    <t>FACTOR - CONDICIÓN FISIOLOGICA</t>
  </si>
  <si>
    <t>Condicion Fisica</t>
  </si>
  <si>
    <t>Medicación</t>
  </si>
  <si>
    <t>Tiempo de Descanso</t>
  </si>
  <si>
    <t>Consumo de Sustancias</t>
  </si>
  <si>
    <t>Tiempo de Servicio</t>
  </si>
  <si>
    <t>Dias Consecutivos volando</t>
  </si>
  <si>
    <t>FACTOR - AERODROMOS Y RUTA</t>
  </si>
  <si>
    <t>Categorizacion aeródromo de origen</t>
  </si>
  <si>
    <t>Condiciones de terreno en aeródromo</t>
  </si>
  <si>
    <t>Meteorología</t>
  </si>
  <si>
    <t>RUTA</t>
  </si>
  <si>
    <t>Condiciones de terreno en ruta</t>
  </si>
  <si>
    <t>Tiempo en ruta</t>
  </si>
  <si>
    <t>Altitud del crucero</t>
  </si>
  <si>
    <t>Meteorologia en ruta</t>
  </si>
  <si>
    <t>Categorizacion aeródromo de destino</t>
  </si>
  <si>
    <t>FACTOR - OPERACIONAL</t>
  </si>
  <si>
    <t>Fase de Entrenamiento</t>
  </si>
  <si>
    <t>Autonomia de vuelo</t>
  </si>
  <si>
    <t>Tiempo de Vuelo Tipo Aeronave EST</t>
  </si>
  <si>
    <t>Tiempo de Vuelo Tipo Aeronave INS</t>
  </si>
  <si>
    <t>Vuelo por mantenimiento</t>
  </si>
  <si>
    <t>FACTOR - CONDICIÓN FISIOLÓGICA</t>
  </si>
  <si>
    <t>FACTOR - AERÓDOMOS</t>
  </si>
  <si>
    <t>FACTOR - RUTA</t>
  </si>
  <si>
    <t>TIPO DE VUELO</t>
  </si>
  <si>
    <t>BRIEFING / DE-BRIEFING</t>
  </si>
  <si>
    <t>ANÁLISIS METEOROLÓGICO  Y OPERACIÓN AERODRÓMOS</t>
  </si>
  <si>
    <t>Resultado Análsis Meteorologia en ruta</t>
  </si>
  <si>
    <t>Condiciones de Terreno en Aeródromo</t>
  </si>
  <si>
    <t>Condición Meteorología</t>
  </si>
  <si>
    <t>Condiciones de Terreno en Ruta</t>
  </si>
  <si>
    <t>Tiempo de Vuelo en Ruta</t>
  </si>
  <si>
    <t>Vuelo por Mantenimiento</t>
  </si>
  <si>
    <t>Dias Consecutivos de Vuelo</t>
  </si>
  <si>
    <t>Apto</t>
  </si>
  <si>
    <t>Reducida</t>
  </si>
  <si>
    <t>No apto</t>
  </si>
  <si>
    <t>Ninguna</t>
  </si>
  <si>
    <t>Prescripcion</t>
  </si>
  <si>
    <t>Sin Prescripcion</t>
  </si>
  <si>
    <t>&gt;7</t>
  </si>
  <si>
    <t>5 a 7</t>
  </si>
  <si>
    <t>&lt;5</t>
  </si>
  <si>
    <t>&gt;4</t>
  </si>
  <si>
    <t>4 a 8</t>
  </si>
  <si>
    <t>&lt;8</t>
  </si>
  <si>
    <t>Controlado</t>
  </si>
  <si>
    <t>No Controlado</t>
  </si>
  <si>
    <t>Llano</t>
  </si>
  <si>
    <t>Valle</t>
  </si>
  <si>
    <t>Selvatico</t>
  </si>
  <si>
    <t>Montañoso</t>
  </si>
  <si>
    <t>Visual</t>
  </si>
  <si>
    <t>Instrumentos</t>
  </si>
  <si>
    <t>Cerrado</t>
  </si>
  <si>
    <t>&lt; 01:00</t>
  </si>
  <si>
    <t>01:01 a 01:45</t>
  </si>
  <si>
    <t>01:45 a 02:30</t>
  </si>
  <si>
    <t>02:31 a 03:15</t>
  </si>
  <si>
    <t>&gt; 03:15</t>
  </si>
  <si>
    <t>&lt; 8.000 ft</t>
  </si>
  <si>
    <t>8.000 a 10.000ft</t>
  </si>
  <si>
    <t>&gt; 10.000 ft</t>
  </si>
  <si>
    <t>Apta</t>
  </si>
  <si>
    <t>Variable</t>
  </si>
  <si>
    <t>Deteriorada</t>
  </si>
  <si>
    <t>MD / CD / IFR</t>
  </si>
  <si>
    <t>MS / CS</t>
  </si>
  <si>
    <t>Primer Vuelo Solo</t>
  </si>
  <si>
    <t>&gt; 04:00 horas</t>
  </si>
  <si>
    <t>03:01 a 04:00 horas</t>
  </si>
  <si>
    <t>02:01 a 03:00 horas</t>
  </si>
  <si>
    <t>01:01 a 02:00 horas</t>
  </si>
  <si>
    <t>&lt; 01:00 horas</t>
  </si>
  <si>
    <t>&gt;70</t>
  </si>
  <si>
    <t>20 a 70</t>
  </si>
  <si>
    <t>&lt;20</t>
  </si>
  <si>
    <t>&gt;1000</t>
  </si>
  <si>
    <t>500 A 1000</t>
  </si>
  <si>
    <t>&lt;500</t>
  </si>
  <si>
    <t>No</t>
  </si>
  <si>
    <t>Comprobación</t>
  </si>
  <si>
    <t>Ferry</t>
  </si>
  <si>
    <t>Prueba</t>
  </si>
  <si>
    <t>&gt; 04:00</t>
  </si>
  <si>
    <t>03:01 a 04:00</t>
  </si>
  <si>
    <t>02:01 a 03:00</t>
  </si>
  <si>
    <t>01:01 a 02:00</t>
  </si>
  <si>
    <t>Tiempo de Vuelo en Ruta (Horas)</t>
  </si>
  <si>
    <t>Operación en Aerodrómo No Controlado</t>
  </si>
  <si>
    <t>Altitud sobre el terreno</t>
  </si>
  <si>
    <t>&lt; 1.500 ft</t>
  </si>
  <si>
    <t>1.501 ft a 2.500 ft</t>
  </si>
  <si>
    <t>2.501 ft a 3.500 ft</t>
  </si>
  <si>
    <t>3.501 ft a 4.500 ft</t>
  </si>
  <si>
    <t>&gt; 4.500 ft</t>
  </si>
  <si>
    <t>Operacione en Aeródromo no controlado</t>
  </si>
  <si>
    <t>Si</t>
  </si>
  <si>
    <t>Tiempo de Descanso (Horas)</t>
  </si>
  <si>
    <t>&gt; 07:00</t>
  </si>
  <si>
    <t>05:00 a 06:59</t>
  </si>
  <si>
    <t>&lt; 05:00</t>
  </si>
  <si>
    <t>Tiempo de Servicio (Horas)</t>
  </si>
  <si>
    <t>&gt; 08:00</t>
  </si>
  <si>
    <t>&lt; 04:00</t>
  </si>
  <si>
    <t>04:01 a 07:59</t>
  </si>
  <si>
    <t>Nivel de Riesgo</t>
  </si>
  <si>
    <t>ACEPTABLE</t>
  </si>
  <si>
    <t>MEDIO</t>
  </si>
  <si>
    <t>ALTO</t>
  </si>
  <si>
    <t>500 A 999 hrs</t>
  </si>
  <si>
    <t>&gt; 1000 hrs</t>
  </si>
  <si>
    <t>&lt; 500 hrs</t>
  </si>
  <si>
    <t>&gt; 70 hrs</t>
  </si>
  <si>
    <t>20 a 69 hrs</t>
  </si>
  <si>
    <t>&lt; 20 hrs</t>
  </si>
  <si>
    <t>Horas de Vuelo en Tipo de Aeronave</t>
  </si>
  <si>
    <t>De 0 a 40</t>
  </si>
  <si>
    <t>Sin Prescripción</t>
  </si>
  <si>
    <t>Prescripción</t>
  </si>
  <si>
    <t>Consumo de Sustancias / Alchohol</t>
  </si>
  <si>
    <t>40 a 59</t>
  </si>
  <si>
    <t>Categorización de Aeródromo</t>
  </si>
  <si>
    <t>Resultado Análisis Meteorología en Ruta</t>
  </si>
  <si>
    <t>Autonomía de Vuelo (Horas)</t>
  </si>
  <si>
    <t>Condición Física</t>
  </si>
  <si>
    <t>El nivel de riesgo según el análisis se encuentra en nivel MEDIO, efectúe Briefing y aplique mitigación para ítems en Rojo.</t>
  </si>
  <si>
    <t>El nivel de riesgo según el análisis se encuentra en nivel ALTO, consulte al Director de Operaciones antes de realizar el vuelo.</t>
  </si>
  <si>
    <t>El nivel de riesgo según el análisis se encuentra en nivel ACEPTABLE.</t>
  </si>
  <si>
    <t>CALCULAR FRAT</t>
  </si>
  <si>
    <t>Debe realizar el cálculo del Riesgo de Vuelo con FRAT</t>
  </si>
  <si>
    <t>550min</t>
  </si>
  <si>
    <t>TECNAM P2002JF</t>
  </si>
  <si>
    <t>600min</t>
  </si>
  <si>
    <t>337min</t>
  </si>
  <si>
    <t>620min</t>
  </si>
  <si>
    <t>PESO TOTAL ( KG )</t>
  </si>
  <si>
    <t>TOTAL + BODEGA</t>
  </si>
  <si>
    <t>VALIDACION MIN</t>
  </si>
  <si>
    <t>2. El Piloto Instructor de Vuelo certifica que el piloto alumno cumple con los requerimientos y lo autoriza a efectuar el vuelo solo en la aeronave el dia de hoy.</t>
  </si>
  <si>
    <t>Bodega ( 20 Kg Max )</t>
  </si>
  <si>
    <t>LTS</t>
  </si>
  <si>
    <t>Autonomia Final ( Min )</t>
  </si>
  <si>
    <t>VALIDACION MAX</t>
  </si>
  <si>
    <t>Autonomia Final ( Horas )</t>
  </si>
  <si>
    <t>BRAZO</t>
  </si>
  <si>
    <t>VALIDACION TOTAL</t>
  </si>
  <si>
    <t>HK-5092G</t>
  </si>
  <si>
    <t>003-381</t>
  </si>
  <si>
    <t>HK-5183G</t>
  </si>
  <si>
    <t>004-055</t>
  </si>
  <si>
    <t>HK-5206G</t>
  </si>
  <si>
    <t>004-286</t>
  </si>
  <si>
    <t>HK-5252G</t>
  </si>
  <si>
    <t>004-495</t>
  </si>
  <si>
    <t>Altitud sobre terreno (Punto+ Alto Ruta)</t>
  </si>
  <si>
    <t>EFB´s - Actualización</t>
  </si>
  <si>
    <t>RESULTADO RIESGO DE VUELO (FRAT)</t>
  </si>
  <si>
    <t>Nombre</t>
  </si>
  <si>
    <t>Altitud sobre Terreno (Punto+ Alto Ruta)</t>
  </si>
  <si>
    <t>INSTRUCCIONES GENERALES</t>
  </si>
  <si>
    <t>Exiten dos maneras de diligenciar el formato de Manifiesto: Formato Digital y Físico Impreso</t>
  </si>
  <si>
    <t>El formato integra: Fotmato de Briefing, Manifiesto de Peso y Balance, Análisis del Riesgo de Vuelo y registro de recibo de equipos EFB.</t>
  </si>
  <si>
    <t>Formato de Briefing:</t>
  </si>
  <si>
    <t>Manifiesto de Peso y Balance</t>
  </si>
  <si>
    <t>Análisis del Riesgo de Vuelo</t>
  </si>
  <si>
    <t>Registro de Recibo de Equipos EFB</t>
  </si>
  <si>
    <t>Todos los campos del formato deben ser diligenciados, no puede haber campos vacios.</t>
  </si>
  <si>
    <t>El formato restringe y modifca las listas seleccionables dependiendo de cada campo a llenar.</t>
  </si>
  <si>
    <t>Algunos campos del formato se diligencian de manera automatica al rellenar la información de otras celdas.</t>
  </si>
  <si>
    <t>El formato está diseñado para diligenciarse de manera práctica por medio de listas seleccionables.</t>
  </si>
  <si>
    <t>El formato se encuentra porotegido para evitar la modificación de la información predeterminada del mismo.</t>
  </si>
  <si>
    <t>A continuación se relacionan los significados de los simbolos que se encuentran en las listas para seleccionar:</t>
  </si>
  <si>
    <t>El ítem: Ha sido revisado de manera correcta / Se encuentra disponible / Está apto para el vuelo.</t>
  </si>
  <si>
    <t>El ítem: No ha sido revisado de manera correcta / No se encuentra disponible / No esta apto para el vuelo.</t>
  </si>
  <si>
    <t>El ítem: No aplica para las condiciones o requerimientos del vuelo que se va a realizar</t>
  </si>
  <si>
    <t>Se usa para las Restricciones de Licencia y Certificado Médico, indica que si se tienen restricciones.</t>
  </si>
  <si>
    <t>Se usa para las Restricciones de Licencia y Certificado Médico, indica que NO se tienen restricciones.</t>
  </si>
  <si>
    <t>Cuando se usa para las restricciones indica que No Aplica dicho item sea por que no va Instructor o Estudiante Abordo.</t>
  </si>
  <si>
    <t>#</t>
  </si>
  <si>
    <t>Para el caso de EFB Asignado se debe seleccionar el número de Ipad Asigando por programación del 1 al 12 para Estudiante.</t>
  </si>
  <si>
    <t>Para el caso de EFB Asignado se debe seleccionar el número de Ipad Asigando por programación del 1 al 12 como Back Up en Vuelo Solo.</t>
  </si>
  <si>
    <t>Para el caso de EFB Asignado se debe seleccionar el número de Ipad Asigando por programación del 1 al 12 para Instructor.</t>
  </si>
  <si>
    <t>#.#</t>
  </si>
  <si>
    <t>*</t>
  </si>
  <si>
    <t>**</t>
  </si>
  <si>
    <t>Son ítems requeridos para el vuelo de salida a Comisión.</t>
  </si>
  <si>
    <t>Son ítems requeridos solo para el Primer Vuelo.</t>
  </si>
  <si>
    <t>Las NOTAS arriba de las firmas varian de acuerdo a a la información diligenciada, depende si es vuelo solo o doble comando.</t>
  </si>
  <si>
    <t>Firmar el Formato de Manifiesto de Despacho es una aceptación y confirmación de la información allí consignada.</t>
  </si>
  <si>
    <t>El Formato es un Documento Legal, la información allí consignada puede ser usada por la autoridad o por Flying con efectos legales.</t>
  </si>
  <si>
    <t>No está permitido consignar en el formato información erronea o no verídica.</t>
  </si>
  <si>
    <t>En caso de que alguna de las condiciones iniciales varie, deberá realizarse otro formato donde se consignen las nuevas antes del vuelo.</t>
  </si>
  <si>
    <t>La ruta de vuelo deberá ser la misma diligenciada en el Plan de Vuelo Electrónico, no se permite abreviar.</t>
  </si>
  <si>
    <r>
      <rPr>
        <b/>
        <sz val="11"/>
        <color theme="1"/>
        <rFont val="Calibri"/>
        <family val="2"/>
        <scheme val="minor"/>
      </rPr>
      <t>Formato Digital:</t>
    </r>
    <r>
      <rPr>
        <sz val="11"/>
        <color theme="1"/>
        <rFont val="Calibri"/>
        <family val="2"/>
        <scheme val="minor"/>
      </rPr>
      <t xml:space="preserve"> Se diligencia en cualquier dispositivo movil o computadora, se registra y archiva en PDF firmado.</t>
    </r>
  </si>
  <si>
    <r>
      <rPr>
        <b/>
        <sz val="11"/>
        <color theme="1"/>
        <rFont val="Calibri"/>
        <family val="2"/>
        <scheme val="minor"/>
      </rPr>
      <t>Formato Físico Impreso: S</t>
    </r>
    <r>
      <rPr>
        <sz val="11"/>
        <color theme="1"/>
        <rFont val="Calibri"/>
        <family val="2"/>
        <scheme val="minor"/>
      </rPr>
      <t>e diligencia en papel, puede ser requerido por Instructor o Autoridad para evaluación conocimientos.</t>
    </r>
  </si>
  <si>
    <t>Opciones</t>
  </si>
  <si>
    <t>Riesgo ACEPTABLE: El nivel de riesgo según el análisis se encuentra en nivel ACEPTABLE.</t>
  </si>
  <si>
    <t>Riesgo MEDIO: El nivel de riesgo según el análisis se encuentra en nivel MEDIO, efectúe Briefing y aplique mitigación para ítems en Rojo.</t>
  </si>
  <si>
    <t>Riesgo ALTO: El nivel de riesgo según el análisis se encuentra en nivel ALTO, consulte al Director de Operaciones antes de realizar el vuelo.</t>
  </si>
  <si>
    <t>FRAT No calculado: Debe realizar el cálculo del Riesgo de Vuelo con FRAT</t>
  </si>
  <si>
    <t>Manifiesto de Peso y Balance se realiza rellenando los campos correspondientes al peso Instructr, Estudiante, Tripadi (Si Aplica), Bodega y Cantidad de Combutible Indicada de Salida.</t>
  </si>
  <si>
    <t>Al seleccionar la matrícula el formato selecciona automaticamente el peso, brazo y momento de la aeronave correspondiente.</t>
  </si>
  <si>
    <t>Cada variable tiene un valor númerico de riesgo asignado, este ha sido calculado por la Direccion de Seguridad Operacional y Direccion de Operaciones.</t>
  </si>
  <si>
    <t>Al diligenciar el FRAT de manera completa arroja una calificación de acuerdo a la suma de valores numericos de las opciones seleccionadas y establece un nivel de riesgo y las acciones a tomar.</t>
  </si>
  <si>
    <t>El combustible Básico es: El necesario para ir del punto A-B no incluye Alternos Ni Sostenimiento</t>
  </si>
  <si>
    <t>INSTRUCCIONES - FRAT</t>
  </si>
  <si>
    <t>SKAM</t>
  </si>
  <si>
    <t>SKAR</t>
  </si>
  <si>
    <t>SKEJ</t>
  </si>
  <si>
    <t>SKBQ</t>
  </si>
  <si>
    <t>SKBG</t>
  </si>
  <si>
    <t>SKCL</t>
  </si>
  <si>
    <t>SKGO</t>
  </si>
  <si>
    <t>SKCZ</t>
  </si>
  <si>
    <t>SKEB</t>
  </si>
  <si>
    <t>SKGI</t>
  </si>
  <si>
    <t>SKIB</t>
  </si>
  <si>
    <t>SKMZ</t>
  </si>
  <si>
    <t>SKQU</t>
  </si>
  <si>
    <t>SKMD</t>
  </si>
  <si>
    <t>SKMR</t>
  </si>
  <si>
    <t>SKNV</t>
  </si>
  <si>
    <t>SKPE</t>
  </si>
  <si>
    <t>SKRG</t>
  </si>
  <si>
    <t>SKSM</t>
  </si>
  <si>
    <t>SKUL</t>
  </si>
  <si>
    <t>SKTL</t>
  </si>
  <si>
    <t>SKGY</t>
  </si>
  <si>
    <t>SKAG</t>
  </si>
  <si>
    <t>SKCG</t>
  </si>
  <si>
    <t>Categorización</t>
  </si>
  <si>
    <t>Aeródromos</t>
  </si>
  <si>
    <t>RESTRICCIONES</t>
  </si>
  <si>
    <t>HORAS CESSNA</t>
  </si>
  <si>
    <t>Selvático</t>
  </si>
  <si>
    <t>Terreno en Aeródromo</t>
  </si>
  <si>
    <t>106 a 150</t>
  </si>
  <si>
    <t>151 a 195</t>
  </si>
  <si>
    <t>196 o mas</t>
  </si>
  <si>
    <t>61 a 105</t>
  </si>
  <si>
    <t>61 a 120</t>
  </si>
  <si>
    <t>121 a 180</t>
  </si>
  <si>
    <t>181 a 240</t>
  </si>
  <si>
    <t>Valor</t>
  </si>
  <si>
    <t>¿?</t>
  </si>
  <si>
    <t>2. El Piloto Estudiante confirma y certifica que se encuentra apto fisica y mentalmente para volar solo la aeronave el dia de hoy.</t>
  </si>
  <si>
    <t>El piloto estudiante asegura que recibe en buenas condiciones el equipo EFB asignado a el y BackUp y se hace responsable del cuidado y seguridad de los msmos.</t>
  </si>
  <si>
    <t>SKMP</t>
  </si>
  <si>
    <t>SKMG</t>
  </si>
  <si>
    <t>SKBC</t>
  </si>
  <si>
    <t>SKCB</t>
  </si>
  <si>
    <t>SKVP</t>
  </si>
  <si>
    <t>SKRH</t>
  </si>
  <si>
    <t>SKLC</t>
  </si>
  <si>
    <t>SKPI</t>
  </si>
  <si>
    <t>SKBR</t>
  </si>
  <si>
    <t>El combustible en Galones será presentado de manera automatica en correspondencia con la información diligenciada en Peso y Balance.</t>
  </si>
  <si>
    <t>Tiempo de Servicio Disponible (Horas)</t>
  </si>
  <si>
    <t>Nro. Asignación</t>
  </si>
  <si>
    <t xml:space="preserve"> , </t>
  </si>
  <si>
    <t>RESULTADO RIESGO DE VUELO ( FRAT )</t>
  </si>
  <si>
    <t>HERRAMIENTA DE ANÁLISIS DE RIESGO DE VUELO ( FRAT )</t>
  </si>
  <si>
    <t>Nombre Tripadi 1</t>
  </si>
  <si>
    <t>Licencia Tripadi 1</t>
  </si>
  <si>
    <t>Nombre Tripadi 2</t>
  </si>
  <si>
    <t>Licencia Tripadi 2</t>
  </si>
  <si>
    <t>Asignación</t>
  </si>
  <si>
    <t>CENTRO DE INSTRUCCIÓN DE AERONÁUTICA CIVIL - ESCUELA DE AVIACIÓN FLYING S.A.S</t>
  </si>
  <si>
    <t xml:space="preserve">Licencia o C.C. Tripadi 1 </t>
  </si>
  <si>
    <t>Licencia o C.C. Tripadi 2</t>
  </si>
  <si>
    <t>MACA</t>
  </si>
  <si>
    <t>BASH</t>
  </si>
  <si>
    <t>GAP</t>
  </si>
  <si>
    <t>CFIT</t>
  </si>
  <si>
    <t>FOD</t>
  </si>
  <si>
    <t>ALAR</t>
  </si>
  <si>
    <t>RIP</t>
  </si>
  <si>
    <t>A</t>
  </si>
  <si>
    <t>PREVAC</t>
  </si>
  <si>
    <t xml:space="preserve">SEVERIDAD </t>
  </si>
  <si>
    <t>CATASTROFICO</t>
  </si>
  <si>
    <t>PELIGROSO</t>
  </si>
  <si>
    <t>IMPORTANTE</t>
  </si>
  <si>
    <t>LEVE</t>
  </si>
  <si>
    <t>INSIGNIFICANTE</t>
  </si>
  <si>
    <t>VALOR</t>
  </si>
  <si>
    <t xml:space="preserve"> / </t>
  </si>
  <si>
    <t>PROBABILIDAD</t>
  </si>
  <si>
    <t>SEVERIDAD</t>
  </si>
  <si>
    <t>CONCATENADO</t>
  </si>
  <si>
    <t xml:space="preserve">PROBABILIDAD </t>
  </si>
  <si>
    <t>E</t>
  </si>
  <si>
    <t>D</t>
  </si>
  <si>
    <t>C</t>
  </si>
  <si>
    <t>B</t>
  </si>
  <si>
    <t>1A</t>
  </si>
  <si>
    <t>Extremadamente Improbable</t>
  </si>
  <si>
    <t>Insignificante</t>
  </si>
  <si>
    <t>FRECUENTE</t>
  </si>
  <si>
    <t>5E</t>
  </si>
  <si>
    <t>5D</t>
  </si>
  <si>
    <t>5C</t>
  </si>
  <si>
    <t>5B</t>
  </si>
  <si>
    <t>5A</t>
  </si>
  <si>
    <t>2A</t>
  </si>
  <si>
    <t>Improbable</t>
  </si>
  <si>
    <t>OCASIONAL</t>
  </si>
  <si>
    <t>4E</t>
  </si>
  <si>
    <t>4D</t>
  </si>
  <si>
    <t>4C</t>
  </si>
  <si>
    <t>4B</t>
  </si>
  <si>
    <t>4A</t>
  </si>
  <si>
    <t>3A</t>
  </si>
  <si>
    <t>Remoto</t>
  </si>
  <si>
    <t>REMOTO</t>
  </si>
  <si>
    <t>3E</t>
  </si>
  <si>
    <t>3D</t>
  </si>
  <si>
    <t>3C</t>
  </si>
  <si>
    <t>3B</t>
  </si>
  <si>
    <t>Ocasional</t>
  </si>
  <si>
    <t>IMPROBABLE</t>
  </si>
  <si>
    <t>2E</t>
  </si>
  <si>
    <t>2D</t>
  </si>
  <si>
    <t>2C</t>
  </si>
  <si>
    <t>2B</t>
  </si>
  <si>
    <t>Frecuente</t>
  </si>
  <si>
    <t>EXTREMADAMENTE IMPROBABLE</t>
  </si>
  <si>
    <t>1E</t>
  </si>
  <si>
    <t>1D</t>
  </si>
  <si>
    <t>1C</t>
  </si>
  <si>
    <t>1B</t>
  </si>
  <si>
    <t>Leve</t>
  </si>
  <si>
    <t>EQUIVALENCIA NUMÉRICA</t>
  </si>
  <si>
    <t>Importante</t>
  </si>
  <si>
    <t>Peligroso</t>
  </si>
  <si>
    <t>Catastrófico</t>
  </si>
  <si>
    <t>SKML</t>
  </si>
  <si>
    <t>SKPP</t>
  </si>
  <si>
    <t>SKLB</t>
  </si>
  <si>
    <t>SKOT</t>
  </si>
  <si>
    <t>SKPB</t>
  </si>
  <si>
    <t>BRIEFING TOOL</t>
  </si>
  <si>
    <t>○</t>
  </si>
  <si>
    <t>ROJO</t>
  </si>
  <si>
    <t>NARANJA</t>
  </si>
  <si>
    <t>AMARILLO</t>
  </si>
  <si>
    <t>VERDE-AMARILLO</t>
  </si>
  <si>
    <t>VERDE</t>
  </si>
  <si>
    <t>1 a 14</t>
  </si>
  <si>
    <t>14 a 28</t>
  </si>
  <si>
    <t>28 a 42</t>
  </si>
  <si>
    <t>56 a 70</t>
  </si>
  <si>
    <t>42 a 56</t>
  </si>
  <si>
    <t>▲</t>
  </si>
  <si>
    <t>Probabilidad
x
Severidad</t>
  </si>
  <si>
    <t>Recomendaciones para mitigación en:</t>
  </si>
  <si>
    <t>▲ ⚑ ● ⦿</t>
  </si>
  <si>
    <t>⦿</t>
  </si>
  <si>
    <t>PROGRAMA DE PREVENCIÓN DE ACCIDENTES - PREVAC</t>
  </si>
  <si>
    <t>AEROPUERTO</t>
  </si>
  <si>
    <t>DESCRIPCIÓN RIESGO</t>
  </si>
  <si>
    <t>PELIGRO GENÉRICO</t>
  </si>
  <si>
    <t>Colisión entre Aeronaves en Vuelo</t>
  </si>
  <si>
    <t>Impacto con Ave / Animal</t>
  </si>
  <si>
    <t>Accidente en Tierra</t>
  </si>
  <si>
    <t>Vuelo Controlado hacia el Terreno</t>
  </si>
  <si>
    <t>* Presencia de obstáculos y elevaciones en inmediaciones del aeródromo.</t>
  </si>
  <si>
    <t>Daño por Objeto Extraño</t>
  </si>
  <si>
    <t>* Alta presencia de FOD en pista y plataforma.
* Aérodromo con deficiente estado de superficie de pista / plataforma.</t>
  </si>
  <si>
    <t>Incursión en Pista</t>
  </si>
  <si>
    <t>Accidente durante Aproximación y/o Aterrizaje</t>
  </si>
  <si>
    <t>* Operación continua de entrenamiento de pista.
* Operación de vuelos solos-estudiantes de Centros de Instrucción.</t>
  </si>
  <si>
    <t>* Circuito de tráfico congestionado.</t>
  </si>
  <si>
    <t>* Aeródromo sin control de superficie / plataforma.
* Operación de vuelos solos-estudiantes de Centros de Instrucción, taxeo en plataforma.</t>
  </si>
  <si>
    <t>* Operación de vehículos de empresas de aviación de transporte no regular.</t>
  </si>
  <si>
    <t>* Operación de tráfico variado: Centros de Instrucción,  Aviación General y Ultralivianos que incumplan instrucciones de ATC.</t>
  </si>
  <si>
    <t>ORIGEN:</t>
  </si>
  <si>
    <t>RECOMENDACIONES PARA MITIGACIÓN</t>
  </si>
  <si>
    <t>DESTINO:</t>
  </si>
  <si>
    <t>ALTERNO 1:</t>
  </si>
  <si>
    <t>ALTERNO 2:</t>
  </si>
  <si>
    <t>COMPONENTES ESPECÍFICOS DEL PELIGRO</t>
  </si>
  <si>
    <t>CLAVE</t>
  </si>
  <si>
    <t xml:space="preserve"> * Presencia de aves en todos los tramos del circuito y en trayectorias de despegue / aterrizaje.
* Presencia de semovientes en zonas de seguridad y cercanías del aeródromo (Chigüiros).</t>
  </si>
  <si>
    <t xml:space="preserve"> * Operación de tráfico variado: Centros de Instrucción,  Aviación General y Ultralivianos.
 * Operación de vuelos solos-estudiantes de Centros de Instrucción.</t>
  </si>
  <si>
    <t>* Aeródromo sin control de superficie / plataforma.
* Aeródromo sin concesionaria / responsable para mantenimiento de plataforma.</t>
  </si>
  <si>
    <t>* Presencia de FOD en pista y plataforma.
* Aeródromo sin concesionaria / responsable para mantenimiento de plataforma / pista.</t>
  </si>
  <si>
    <t>* Presencia de aves en todos los tramos del circuito y en trayectorias de despegue / aterrizaje.</t>
  </si>
  <si>
    <t>* Posible presencia de FOD en pista y plataforma.</t>
  </si>
  <si>
    <t>* Operación de tráfico variado: Aviación Comercial, Aviación General, Centros de Instrucción.
* Operación simultánea de procedimientos Visuales / Instrumentos.</t>
  </si>
  <si>
    <t>* Operación de tráfico variado: Aviación Comercial, Aviación General, Centros de Instrucción.
* Diseño del Aeródromo: Aeródromo sin calle de rodaje paralela para el rodaje a cabeceras.</t>
  </si>
  <si>
    <t>* Aeródromo no controlado.
* Aeródromo sin procedimientos visuales estandarizados.</t>
  </si>
  <si>
    <t>* Tendido eléctrico en trayectorias de despegue / aproximación.
* Probabilidad de cortantes de viento en trayectorias de despegue / aproximación.</t>
  </si>
  <si>
    <t>* Presencia de obstáculos en inmediaciones del aeródromo.</t>
  </si>
  <si>
    <t>* Operación de tráfico variado: Aviación Comercial, Aviación General, Centros de Instrucción.
* Operación de vuelos solos-estudiantes de Centros de Instrucción.</t>
  </si>
  <si>
    <t>* Presencia de aves en todos los tramos del circuito y en trayectorias de despegue / aterrizaje.
* Migración constante de aves en zonas cercanas al aeródromo.</t>
  </si>
  <si>
    <t>* Aeródromo sin control de superficie / plataforma.
* Aeródromo sin concesionaria / responsable para mantenimiento de plataforma.
* Espacio reducido para parqueo y maniobra de ingreso a pista.
* Deficiente señalización de plataforma y posiciones de parqueo.</t>
  </si>
  <si>
    <t>* Presencia de aves en todos los tramos del circuito y en trayectorias de despegue / aterrizaje por ubicación del aeródromo en zona del magdalena medio.</t>
  </si>
  <si>
    <t>* Presencia de obstáculos y elevaciones en inmediaciones del aeródromo.
* Árbolesy torres electricas / torres de comunicacione con altura superior a 60 ft.</t>
  </si>
  <si>
    <t>* Posible presencia de aves en los tramos del circuito y en trayectorias de despegue / aterrizaje.</t>
  </si>
  <si>
    <t>* Presencia de obstáculos y elevaciones en inmediaciones del aeródromo.
* Aeródromo de gran elevación que puede afectar el rendimiento y respuesta de la aeronave.</t>
  </si>
  <si>
    <t>* Posible presencia de aves en todos los tramos del circuito y en trayectorias de despegue / aterrizaje.</t>
  </si>
  <si>
    <t>* Presencia de obstáculos y elevaciones en inmediaciones del aeródromo.
* Árboles en trayectoria de aproximación pista XX</t>
  </si>
  <si>
    <t>* Presencia de obstáculos en inmediaciones del aeródromo.
* Obstáculo: Arboles de 100 ft de altura a 30m del umbral pista 33.</t>
  </si>
  <si>
    <t>* Operación constante de vehículos de empresas / privados en calles de rodaje de hangares.
* Calles de rodaje estrechas en zona de hangares.</t>
  </si>
  <si>
    <t>* Alta presencia de FOD en calles de rodaje .
* Posible presencia de FOD en pista.</t>
  </si>
  <si>
    <t>* Posible presencia de aves  en trayectorias de despegue / aterrizaje.
* Aeródromo con espacio aéreo reducido para maniobra.</t>
  </si>
  <si>
    <t>* Operación de tráfico variado: Aviación Comercial, Aviación General, Centros de Instrucción, Ultralivianos.</t>
  </si>
  <si>
    <t>* Aeródromo sin medidas para dispersión de aves.
* Presencia de aves en todos los tramos del circuito y en trayectorias de despegue / aterrizaje.</t>
  </si>
  <si>
    <t>* Operación de tráfico variado: Aviación Comercial, Aviación General, Centros de Instrucción.</t>
  </si>
  <si>
    <t>* Alta presencia de FOD en pista y plataforma.
* Aeródromo sin concesionaria / responsable para mantenimiento de plataforma / pista.</t>
  </si>
  <si>
    <t>* Tendido eléctrico en trayectorias de despegue / aproximación.</t>
  </si>
  <si>
    <t>* Operación de tráfico variado: Aviación Comercial, Aviación General, Centros de Instrucción.
* Solo existe un a frecuencia para control de torre y superficie.</t>
  </si>
  <si>
    <t>Página 1 de 2</t>
  </si>
  <si>
    <t>* Aeródromo sin concesionaria / responsable para mantenimiento de cerramiento.</t>
  </si>
  <si>
    <t>* Aeródromo sin medidas para dispersión de aves.
* Aeródromo cerca a un rio, alta presencia de aves en circuito, trayectoria de despegue / aterrizaje.</t>
  </si>
  <si>
    <t>* Alta probabilidad de cortantes de viento en trayectoria de despegue / aterrizaje.</t>
  </si>
  <si>
    <t>* Operación de helicópteros en batallón ejercito al "N/W" del aeródromo.</t>
  </si>
  <si>
    <t>* Aeródromo con obstáculos, elevaciones predominantes al "S".
* Tendido eléctrico en trayectoria de despegue / aterrizaje.</t>
  </si>
  <si>
    <t>* Aeródromo no Controlado.
* Aeródromo con una sola calle de rodaje para ingreso o salida de pista.</t>
  </si>
  <si>
    <t>* Diseño del Aeródromo: Sin calle de rodaje paralela para el rodaje a cabeceras.</t>
  </si>
  <si>
    <t>* Pista Angosta. * Aeródromo sin luces PAPI.
* Aeródromo sin procedimientos visuales estandarizados.</t>
  </si>
  <si>
    <t xml:space="preserve"> </t>
  </si>
  <si>
    <t>* Aeródromo no Controlado: no es posible obtener información precisa del viento.
* Probabilidad de cortantes en trayectorias de despegue / aproximación.</t>
  </si>
  <si>
    <t>* Aeródromo no controlado. * Aeródromo sin procedimientos visuales estandarizados.
* Aeródromo con ruta de ingreso y salida común.</t>
  </si>
  <si>
    <t>* Aeródromo con espacio aéreo reducido para maniobra.
* Operación de Centros de Instrucción y Ultralivianos.</t>
  </si>
  <si>
    <t>* Aeródromo sin concesionaria / responsable para mantenimiento de cerramiento.
* Aeródromo con espacio aéreo reducido para maniobra.</t>
  </si>
  <si>
    <t>* Aérodromo con deficiente estado de superficie de pista.
* Aeródromo sin plataforma definida / sin posiciones de parqueo definidas.</t>
  </si>
  <si>
    <t>* Terreno circundante al aeródromo montañoso con obstáculos y altas elevaciones.
* Árboles en trayectorias de despegue / aproximación.
* Tendido eléctrico en trayectorias de despegue / aproximación.</t>
  </si>
  <si>
    <t>* Probabilidad de cortantes de viento en trayectorias de despegue / aproximación.
* Espacio aéreo reducido para maniobra en vuelo y en procedimiento de sobrepaso.</t>
  </si>
  <si>
    <t>* Terreno circundante al aeródromo montañoso con obstáculos y altas elevaciones.
* Tendido eléctrico y Árboles en trayectorias de despegue / aproximación.</t>
  </si>
  <si>
    <t>* Superficie de pista no preparada, pasto y tierra.
* Alta presencia de FOD en pista y plataforma.</t>
  </si>
  <si>
    <t>* Aeródromo sin concesionaria / responsable para mantenimiento de plataforma / pista.</t>
  </si>
  <si>
    <t>* Aeródromo no Controlado. * Aeródromo sin señalización.
* Operación aviación general / ultralivianos.</t>
  </si>
  <si>
    <t>* Aeródromo sin procedimientos visuales estandarizados. * Aeródromo sin luces PAPI.
* Aeródromo no Controlado: no es posible obtener información de viento.</t>
  </si>
  <si>
    <t>* Probabilidad de cortantes en trayectorias de despegue / aproximación.
* Obstáculos en trayectorias de aproximación.</t>
  </si>
  <si>
    <t>* Operación de: Aviación Comercial, Aviación General, Centros de Instrucción, Ultralivianos.
* Operación de vuelos solos-estudiantes de Centros de Instrucción.</t>
  </si>
  <si>
    <t>* Operación simultánea de procedimientos Visuales / Instrumentos.</t>
  </si>
  <si>
    <t>* Operación de: Aviación Comercial, Aviación General, Centros de Instrucción, Ultralivianos en áreas de movimiento / plataforma.</t>
  </si>
  <si>
    <t>* Presencia de vehículos / equipos de apoyo de diferentes compañias en áreas de movimiento / plataforma.</t>
  </si>
  <si>
    <t>* Posible confusión por designadores de pistas 02 / 20.</t>
  </si>
  <si>
    <t>* Operación de: Aviación Comercial, Aviación General, Centros de Instrucción, Ultralivianos.
* Operación simultánea de procedimientos Visuales / Instrumentos.</t>
  </si>
  <si>
    <t>* Posible confusión por designadores de pistas 02 / 20.
* Posible alteración de percepción de profundidad por pista con pendiente positiva (20).</t>
  </si>
  <si>
    <t>* Operación de tráfico variado: Aviación Comercial, Aviación General, Centros de Instrucción en áreas de movimiento / plataforma.</t>
  </si>
  <si>
    <t>* Presencia de obstáculos en inmediaciones del aeródromo.
* Aeródromo con elevaciones relevantes en zona cercana al ATZ.</t>
  </si>
  <si>
    <t>* Aeródromo de elevación considerable - puede afectar el rendimimiento de la aeronave.
* Presencia de turbulencia mecánica por accidentes geográficos.</t>
  </si>
  <si>
    <t>* Operación de: Aviación Comercial, Aviación General, Centros de Instrucción, Aviación Militar.
* Operación de vuelos solos-estudiantes de Centros de Instrucción e instrucción militar.</t>
  </si>
  <si>
    <t>* Posible incursión de animales en la pista en horas de la noche y madrugada.</t>
  </si>
  <si>
    <t xml:space="preserve"> * Presencia de vehículos / equipos de apoyo de compañias en áreas de movimiento / plataforma.* Deficiente demarcación de posiciones de parqueo.</t>
  </si>
  <si>
    <t>* Operación de: Aviación Comercial, Aviación General, Centros de Instrucción en área de movimiento / plataforma. * Deficiente demarcación de lineas de taxeo.</t>
  </si>
  <si>
    <t>* Presencia de obstáculos en inmediaciones del aeródromo.
* Condiciones predominantes de viento fuerte.</t>
  </si>
  <si>
    <t>* Aproximaciones desestabilizadas por presencia de rafagas o cortantes de viento.</t>
  </si>
  <si>
    <t>* Operación de: Aviación Comercial, Aviación General, Centros de Instrucción, Aviación Militar.
* Limitada visibilidad de la Torre de control por diseño del aeródromo.</t>
  </si>
  <si>
    <t>* Diseño del Aeródromo: Aeródromo sin calle de rodaje paralela para el rodaje a cabeceras.</t>
  </si>
  <si>
    <t>* Aeródromo sin concesionaria / responsable para mantenimiento de manga veletas.
* Probabilidad de cortantes en trayectorias de despegue / aproximación.</t>
  </si>
  <si>
    <t>* Operación de: Aviación Comercial, Aviación General, Centros de Instrucción, Aviación Militar.
* Operación de vuelos solos-estudiantes de Centros de Instrucción.</t>
  </si>
  <si>
    <t>* Proximidad del aeródromo a la costa.</t>
  </si>
  <si>
    <t>* Frecuente saturación en rampa y limitada área de maniobra para el ingreso y salida de las posiciones de parqueo.</t>
  </si>
  <si>
    <t>* Operación de: Aviación General, Centros de Instrucción en áreas de movimiento / plataforma.
* Presencia de vehículos / equipos de apoyo de compañias en áreas de movimiento / plataforma.</t>
  </si>
  <si>
    <t>* Presencia de obstáculos en inmediaciones del aeródromo / Cerro la Popa con multiples antenas (elevacion 453ft) a 1500m al SW del umbral pista 01.</t>
  </si>
  <si>
    <t>* Aproximaciones desestabilizadas por presencia de turbulencia, rafagas o cortantes de viento. * Condiciones predominantes de viento fuerte.</t>
  </si>
  <si>
    <t>* Operación de: Aviación Comercial, Aviación General, Centros de Instrucción, Aviación Militar.
* Diseño del Aeródromo: Aeródromo sin calle de rodaje paralela para el rodaje a cadeceras.</t>
  </si>
  <si>
    <t>* Posibles fallas en la transferencia entre frecuencia de superficie y torre.</t>
  </si>
  <si>
    <t>* Posible presencia de turbulencia y viento cruzado en las fases de aproximación y final.</t>
  </si>
  <si>
    <t>* Operación de: Aviación Comercial, Aviación General, Centros de Instrucción, Ultralivianos.
* Posible confusión por designadores de pistas 02 / 20.</t>
  </si>
  <si>
    <t>* Posible confusión por designadores de pistas 02 / 20.
* Posible alteración de la percepción de profundidad en aterrizajes / despegues por pista ancha / falta de familiarización con aeródromo.</t>
  </si>
  <si>
    <t>* Operación de: Aviación Comercial, Aviación General, Centros de Instrucción en áreas de movimiento / plataforma.</t>
  </si>
  <si>
    <t>* Presencia de obstáculos - Árboles altos a 380m del umbral de la pista 21.
* Presencia de obstáculos en inmediaciones del aeródromo.</t>
  </si>
  <si>
    <t xml:space="preserve">* Aproximaciones desestabilizadas por presencia de turbulencia, rafagas o cortantes de viento. * Condiciones predominantes de viento fuerte. </t>
  </si>
  <si>
    <t>* Operación de: Aviación Comercial, Aviación General, Centros de Instrucción, Ultralivianos.
* Diseño del Aeródromo: Aeródromo sin calle de rodaje paralela para el rodaje a cabeceras.</t>
  </si>
  <si>
    <t>* Aproximaciones desestabilizadas por posible presencia de turbulencia y viento cruzado en las fases de aproximación y final.</t>
  </si>
  <si>
    <t>* Aeródromo sin medidas para dispersión de aves.
* Aeródromo ubicado cerca al rio Nechi, aves en aproximación pista 19.</t>
  </si>
  <si>
    <t>* Presencia significativa de aves en circuito y en trayectorias de despegue / aterrizaje.
* Aeródromo sin concesionaria / responsable para mantenimiento de cerramiento.</t>
  </si>
  <si>
    <t>* Terreno circundante al aeródromo con obstáculos, elevaciones predominantes al "S".
* Obstáculos no señalizados en cercanía del aeropuerto.</t>
  </si>
  <si>
    <t>* Alta presencia de FOD en pista y plataforma.
* Superficie de pista deteriorada, presenta desprendimiento de capa de asfalto.</t>
  </si>
  <si>
    <t>* Zona de seguridad sin mantenimiento que podria generar FOD.
* Aeródromo sin concesionaria / responsable para mantenimiento de plataforma / pista.</t>
  </si>
  <si>
    <t>* Aeródromo no Controlado. * Aeródromo sin señalización.
* Personal transeunte sobre la pista, cruzando de un lado a otro por el ancho de la pista.</t>
  </si>
  <si>
    <t>* Aeródromo con una sola calle de rodaje para ingreso o salida de pista.
* Diseño del Aeródromo: Sin calle de rodaje paralela para el rodaje a cabeceras.</t>
  </si>
  <si>
    <t>* Operación simultánea de procedimientos Visuales / Instrumentos.
* Tránsito de Helicopteros hacia batallón en Barrancabermeja.</t>
  </si>
  <si>
    <t>* Operación de tráfico variado: Aviación Comercial, Aviación General, Centros de Instrucción, Ultralivianos en áreas de movimiento / plataforma.</t>
  </si>
  <si>
    <t>* Operación de: Aviación Comercial, Aviación General, Centros de Instrucción, Ultralivianos. * Operación de vuelos solos-estudiantes de Centros de Instrucción.</t>
  </si>
  <si>
    <t>* Limitada visibilidad de la Torre hacia las cabeceras por obstáculos natuarales (Arboles).</t>
  </si>
  <si>
    <t>* Posible alteración de la percepción de profundidad en aterrizajes / despegues por pista con pendiente positiva (20).</t>
  </si>
  <si>
    <t>* Operación de tráfico variado: Centros de Instrucción,  Aviación General y Ultralivianos, Aeronaves de Paracaidismo.</t>
  </si>
  <si>
    <t>* Operación de vuelos solos-estudiantes de Centros de Instrucción.
* Circuito de tráfico congestionado.</t>
  </si>
  <si>
    <t>* Aeródromo sin control de superficie / plataforma.
* Espacio limitado para realizar tanqueo - necesidad de movimiento de la aeronave en plataforma.</t>
  </si>
  <si>
    <t>* Operación de vuelos solos-estudiantes de Centros de Instrucción, taxeo en plataforma.
* Operación de vehículos de empresas de aviación de transporte no regular.</t>
  </si>
  <si>
    <t>* Alta presencia de FOD en pista y plataforma.
* Aeródromo con zona de seguridad con deficiente mantenimiento - pasto alto.</t>
  </si>
  <si>
    <t>* Aérodromo con deficiente estado de superficie de pista / plataforma.</t>
  </si>
  <si>
    <t>* Operación de: Centros de Instrucción,  Aviación General y Ultralivianos que incumplan instrucciones de ATC.</t>
  </si>
  <si>
    <t>* Operación de vuelos solos-estudiantes de Centros de Instrucción.
* Diseño del Aeródromo: Sin calle de rodaje paralela para el rodaje a cabeceras.</t>
  </si>
  <si>
    <t>* Operación de tráfico variado: Centros de Instrucción,  Aviación General y Ultralivianos.
* Operación de vuelos solos-estudiantes de Centros de Instrucción.</t>
  </si>
  <si>
    <t>* Plano de aeródromo confuso, calles de rodaje angostas.
* Operación de vuelos solos-estudiantes de Centros de Instrucción, taxeo en plataforma.</t>
  </si>
  <si>
    <t>* Operación de vuelos solos-estudiantes de Centros de Instrucción.
* Plano de aeródromo confuso.</t>
  </si>
  <si>
    <t>* Operación continua de entrenamiento de pista en el aeródromo.
* Operación de vuelos solos-estudiantes de Centros de Instrucción.</t>
  </si>
  <si>
    <t>* Operación de tráfico variado: Aviación Comercial, Centros de Instrucción,  Aviación General, Ultralivianos.</t>
  </si>
  <si>
    <t>* Operación de vuelos solos-estudiantes de Centros de Instrucción.</t>
  </si>
  <si>
    <t>* Aeródromo de gran elevación que puede afectar el rendimiento y respuesta de la aeronave. * Pista angosta.</t>
  </si>
  <si>
    <t>* Operación de tráfico variado: Aviación Comercial, Aviación General, Centros de Instrucción, Ultralivianos, aeronaves de fumigación.</t>
  </si>
  <si>
    <t>* Operación de: Aviación Comercial, Aviación General, Centros de Instrucción, Ultralivianos, aeronaves de fumigación.</t>
  </si>
  <si>
    <t>* Operación de tráfico variado: Aviación Comercial, Aviación General, Centros de Instrucción, Ultralivianos, aeronaves de fumigación en áreas de movimiento / plataforma.</t>
  </si>
  <si>
    <t>* Presencia de vehículos / equipos de apoyo de diferentes compañias en áreas de movimiento / plataforma. * Espacio limitado en plataforma.</t>
  </si>
  <si>
    <t>* Operación simultánea de procedimientos Visuales / Instrumentos.
* Posible aproximación desestabilizada por vientos cruzados, rafagas, turbulencia o cortantes.</t>
  </si>
  <si>
    <t>* Aeródromo con espacio aéreo congestionado, limitado para maniobra.
* Puntos de convergencia en entrada y salida del aeródromo.</t>
  </si>
  <si>
    <t>* Operación de tráfico variado: Aviación Comercial, Aviación General, Centros de Instrucción, Ultralivianos y Helicópteros. * Aeródromo con frecuencia de comunicaciones saturada.</t>
  </si>
  <si>
    <t>* Operación de tráfico variado: Aviación Comercial, Aviación General, Centros de Instrucción, Ultralivianos y Helicópteros.</t>
  </si>
  <si>
    <t>* Aeródromo con frecuencia de comunicaciones saturada.</t>
  </si>
  <si>
    <t>* Aeródromo sin luces PAPI.
* Aproximación desestabilizada por obstáculo natural (Elevación El Rodeo) trayectoria final a la pista 02.
* Aproximación desestabilizada por cambios en la sustentación por efecto de temperatura sobre obstáculo natural (Elevación Club el Rodeo) en trayectoria final a la pista 02.</t>
  </si>
  <si>
    <t>* Aeródromo con obstáculos (Hangares / Edificios) circundantes que pueden ocasionar turbulencia mecánica o cambios en dirección e intensidad del viento bajo la capa de los mismos.
* Operación con viento de cola por predominante operación de la pista 02.</t>
  </si>
  <si>
    <t>* Aeródromo sin medidas para dispersión de aves.
* Aeródromo sin concesionaria / responsable para mantenimiento de cerramiento.</t>
  </si>
  <si>
    <t>* Aeródromo cerca a un rio, alta presencia de aves en circuito, trayectoria de despegue / aterrizaje.
* Aeródromo sin medidas para dispersión de aves.</t>
  </si>
  <si>
    <t>* Aeródromo ubicado en medio de accidentes geográficos con altas elevaciones.
* Obstáculos predominantes en área circundante (Edificios).</t>
  </si>
  <si>
    <t>* Aeródromo ubicado en elevación media que puede afectar el rendimiento esperado en condiciones de alta temperatura.</t>
  </si>
  <si>
    <t>* Presencia de vehículos / equipos de apoyo de compañias en áreas de movimiento / plataforma. * Presencia de personas en plataforma.</t>
  </si>
  <si>
    <t>* Operación de: Aviación Comercial, Aviación General, Centros de Instrucción, Ultralivianos.</t>
  </si>
  <si>
    <t>* Operación de: Aviación Comercial, Aviación General, Centros de Instrucción, Ultralivianos.
* Aeródromo con ruta de ingreso y salida común.</t>
  </si>
  <si>
    <t>* Aeródromo con espacio aéreo reducido para maniobra.</t>
  </si>
  <si>
    <t>* Superficie de pista y plataforma con desnivel, parches en la capa de asfalto.
* Calles de rodaje angostas y pltaforma limitada para maniobra.</t>
  </si>
  <si>
    <t>* Posible congestión de plataforma por limitadas posiciones de parqueo.
* Presencia de vehículos / equipos de apoyo de compañias en áreas de movimiento / plataforma. * Presencia de personas en plataforma.</t>
  </si>
  <si>
    <t>* Probabilidad de cortantes de viento en trayectorias de despegue / aproximación.
* Espacio aéreo reducido para maniobra en vuelo y en procedimiento de sobrepaso.
* Viento de cola predominante para el aeródromo.
* Condiciones de nubosidad y baja visibilidad predominates en el aeródromo.</t>
  </si>
  <si>
    <t>* Posible aproximación desestabilizada por fallas en la percepción, pendiente positiva de la pista.
* Probabilidad de cortantes de viento en trayectorias de despegue / aproximación.</t>
  </si>
  <si>
    <t>* Viento de cola predominante para el aeródromo.
* Obstáculos en trayectorias de aproximación.</t>
  </si>
  <si>
    <t>* Presencia de vehículos / equipos de apoyo de compañias en áreas de movimiento / plataforma.</t>
  </si>
  <si>
    <t>* Posible incursion por sobrepasar puntos de espera en calles de rodaje A -B.
* Diseño del Aeródromo: Sin calle de rodaje paralela para el rodaje a cabeceras.</t>
  </si>
  <si>
    <t>* Operación simultánea de procedimientos Visuales / Instrumentos.
* Posible confusión por designadores de pistas 02 / 20.</t>
  </si>
  <si>
    <t xml:space="preserve">* Aeródromo sin procedimientos visuales estandarizados.
* Aeródromo sin luces PAPI. </t>
  </si>
  <si>
    <t>* Aeródromo no Controlado: no es posible obtener información precisa de viento.
* Probabilidad de cortantes en trayectorias de despegue / aproximación.</t>
  </si>
  <si>
    <t>* Presencia de obstáculos y elevaciones en inmediaciones del aeródromo.
* Elevación predominante al N del aeródromo, restricción de circuito al "N".</t>
  </si>
  <si>
    <t>* Operación de: Aviación Policia Nacional (Ala fija / Ala Rotatoria), Aviación General, Centros de Instrucción y Ultralivianos. * Operación de vuelos solos-estudiantes de Centros de Instrucción.</t>
  </si>
  <si>
    <t>* Operación simultánea de aeronaves de ala fija y ala rotatoria en pista y zonas de seguridad. * Circuito de tráfico congestionado.
* Operación preferencial para circuito de tráfico al "E" por accidentes geográficos al "W".</t>
  </si>
  <si>
    <t>* Aeródromo sin control de superficie / plataforma.
* Aérodromo con deficiente estado de superficie de pista / plataforma.</t>
  </si>
  <si>
    <t>* Arboles y Tendido eléctrico en trayectorias de despegue / aproximación.
* Probabilidad de cortantes de viento en trayectorias de despegue / aproximación.</t>
  </si>
  <si>
    <t>* Aeródromo con cercanía de la cordillera central, accidentes geográficos en todos los cuadrantes que generan turbulencia mecánica en los diferentes tramos del tráfico.</t>
  </si>
  <si>
    <t>* Plataforma pequeña, limitada para movimiento, sin puntos o posiciones de parqueo demarcadas. * Aeródromo sin punto designado para pruebas de motor.</t>
  </si>
  <si>
    <t>* Limitación de visibilidad de Torre de Control hacia pista por obstáculos.
* Diseño del Aeródromo: Sin calle de rodaje paralela para el rodaje a cabeceras.</t>
  </si>
  <si>
    <t>* Operación de: Aviación Policia Nacional (Ala fija / Ala Rotatoria), Aviación General, Centros de Instrucción y Ultralivianos que incumplan instrucciones de ATC.</t>
  </si>
  <si>
    <t>* Aeródromo sin luces PAPI.
* Posible aproximación desestabilizada por obstáculos / arboles en trayectoria final de aproximación.</t>
  </si>
  <si>
    <t>* Aeródromo con altos arboles circundantes que pueden ocasionar cambios en dirección e intensidad del viento bajo la capa de los mismos.</t>
  </si>
  <si>
    <t>* Aeródromo de elevación considerable que puede afectar el rendimimiento de la aeronave. * Presencia de turbulencia mecánica por accidentes geográficos.</t>
  </si>
  <si>
    <t>* Operación de: Aviación Comercial, Aviación General, Centros de Instrucción.
* Operación simultánea de procedimientos Visuales / Instrumentos.</t>
  </si>
  <si>
    <t>* Aproximaciones desestabilizadas por presencia de rafagas o cortantes de viento.
* Carretera a 250 m del umbral pista 19.</t>
  </si>
  <si>
    <t>* Aeródromo ubicado cerca de la costa.
* Posible incursión de animales en la pista en horas de la noche y madrugada.</t>
  </si>
  <si>
    <t>* Operación de: Aviación Comercial, Aviación General, Centros de Instrucción en áreas de movimiento / plataforma. * Posible congestión de plataforma y limitación de maniobra en la misma.</t>
  </si>
  <si>
    <t>* Posibles aproximaciones desestabilizadas por presencia de turbulencia, rafagas o cortantes de viento.</t>
  </si>
  <si>
    <t>* Formación montañosa y antenas de comunicación al E del aeródromo con elevaciones de 1771ft y superior. * Condiciones predominantes de viento fuerte.</t>
  </si>
  <si>
    <t>* Posibles aproximaciones desestabilizadas por presencia de turbulencia, rafagas o cortantes de viento. * Condiciones predominantes de viento fuerte.</t>
  </si>
  <si>
    <t>* Operación de tráfico variado: Aviación Comercial, Aviación General, Centros de Instrucción.
* Aeródromo no controlado.</t>
  </si>
  <si>
    <t>* Aeródromo sin procedimientos visuales estandarizados.</t>
  </si>
  <si>
    <t>* Aeródromo ubicado cerca a la costa, con presencia significativa de aves en circuito y en trayectorias de despegue / aterrizaje. * Aeródromo sin medidas para dispersión de aves.</t>
  </si>
  <si>
    <t>* Deficiente demarcación de posiciones de parqueo.
* Posible congestión en plataforma y limitada área de maniobra.</t>
  </si>
  <si>
    <t>* Aeródromo sin concesionaria / responsable para mantenimiento de plataforma.
* Aeródromo sin control de superficie / plataforma. * Deficiente demarcación de lineas de taxeo.</t>
  </si>
  <si>
    <t>* Aeródromo sin iluminación.
* Tendido eléctrico en trayectorias de despegue / aproximación.</t>
  </si>
  <si>
    <t>* Probabilidad de cortantes de viento en trayectorias de despegue / aproximación.</t>
  </si>
  <si>
    <t>* Aeródromo sin procedimientos visuales estandarizados.
* Aeródromo sin luces PAPI / sin iluminación. * Pista angosta.
* Aeródromo no Controlado: no es posible obtener información de viento.</t>
  </si>
  <si>
    <t>* Aeródromo sin concesionaria / responsable para mantenimiento de manga veletas.
* Probabilidad de cortantes en trayectorias de despegue / aproximación.
* Tendido eléctrico en trayectorias de despegue / aproximación.</t>
  </si>
  <si>
    <t>* Operación de tráfico variado: Aviación General, Centros de Instrucción.
* Aeródromo no controlado. * Aeródromo sin procedimientos visuales estandarizados.</t>
  </si>
  <si>
    <t>* Aeródromo ubicado cerca al río cauca, con presencia significativa de aves en circuito y en trayectorias de despegue / aterrizaje.</t>
  </si>
  <si>
    <t>* Aeródromo sin control de superficie / plataforma. * Deficiente demarcación de lineas de taxeo.
* Aeródromo sin concesionaria / responsable para mantenimiento de plataforma.</t>
  </si>
  <si>
    <t>* Aeródromo sin concesionaria / responsable para mantenimiento de manga veletas.
* Tendido eléctrico en trayectorias de despegue / aproximación.</t>
  </si>
  <si>
    <t>* Operación de: Aviación Comercial, Aviación General, Centros de Instrucción.
* Operación de vuelos solos-estudiantes de Centros de Instrucción.</t>
  </si>
  <si>
    <t>* Posible incursión de animales en la pista en horas de la noche y madrugada.
* Existencia de cuerpos de agua y vegetación que fomentanproliferación de aves cerca del aeródromo.</t>
  </si>
  <si>
    <t>* Presencia de aves en todos los tramos del circuito y en trayectorias de despegue / aterrizaje.
* Migración constante de aves en zonas cercanas al aeródromo. * Aeródromo ubicado cerca de la costa.</t>
  </si>
  <si>
    <t>* Operación de: Aviación Comercial, Aviación General, Centros de Instrucción en áreas de movimiento / plataforma. * Deficiente demarcación de posiciones de parqueo.</t>
  </si>
  <si>
    <t>* Presencia de vehículos / equipos de apoyo de compañias en áreas de movimiento / plataforma. * Deficiente demarcación de lineas de taxeo.</t>
  </si>
  <si>
    <t>* Operación continua de entrenamiento de pista.
* Árboles en trayectoria de aproximación pista 32</t>
  </si>
  <si>
    <t xml:space="preserve">                                                                                            //</t>
  </si>
  <si>
    <t>* Aeródromo no controlado, sin informacion de tráfico.
* Aeródromo sin procedimientos visuales estandarizados.</t>
  </si>
  <si>
    <t>Panoramas Peligro Operac.</t>
  </si>
  <si>
    <t>Análisis
Dirección de Seguridad Operacional
PREVAC - V.001
2024</t>
  </si>
  <si>
    <t>PROGRAMAS DE PREVENCIÓN DE ACCIDENTES</t>
  </si>
  <si>
    <t>PREVAC
PROGRAMA DE PREVENCIÓN DE ACCIDENTES</t>
  </si>
  <si>
    <t>DATOS CÁLCULO PESO Y BALANCE</t>
  </si>
  <si>
    <t>¿QUÉ ES EL PREVAC?</t>
  </si>
  <si>
    <t>MID AIR COLLISION AVOIDANCE</t>
  </si>
  <si>
    <t>BIRD ANIMAL STRIKE HAZARD</t>
  </si>
  <si>
    <t>GROUND ACCIDENT PREVENTION</t>
  </si>
  <si>
    <t>CONTROLLED FLIGHT INTO TERRAIN</t>
  </si>
  <si>
    <t>FOREIGN OBJECT DAMAGE</t>
  </si>
  <si>
    <t>RUNWAY INCURSION PREVENTION</t>
  </si>
  <si>
    <t>APPROACH LANDING ACCIDENT REDUCTION</t>
  </si>
  <si>
    <t>PREVAC, como abreviatura para: «Programa de Prevención de Accidentes», es una de las estrategias usadas por la Dirección de Seguridad Operacional de la Escuela de Aviación Flying para mantener la cultura de Seguridad Operacional y evitar eventos no deseados, de manera proactiva, por medio de la capacitación, entrenamiento y la socialización de estadísticas relacionadas a peligros específicos que afectan las operaciones de instrucción y entrenamiento de la Escuela. Los peligros en los que se enfoca el «Programa de Prevención de Accidentes» son:</t>
  </si>
  <si>
    <t>El término MACA (Mid-Air Collision Avoidance) se refiere a la prevención de colisiones en el aire, específicamente entre aeronaves.
El objetivo del MACA es evitar colisiones entre aeronaves que operan en el mismo espacio aéreo, ya sea en vuelo nivelado, durante el despegue o el aterrizaje, o en cualquier otra fase del vuelo. Estas colisiones pueden tener consecuencias catastróficas, por lo que es fundamental implementar medidas y sistemas de seguridad para prevenirlas.</t>
  </si>
  <si>
    <t>El término BASH (Bird Animal Strike Hazard) se refiere a los peligros asociados con la colisión de aeronaves con aves y otros animales en el entorno aeroportuario y durante las operaciones de vuelo. También se conoce como peligro de colisión con aves y otros animales.
El BASH es una preocupación importante en la aviación, ya que las colisiones entre aviones y aves u otros animales pueden causar daños significativos a la aeronave, poner en peligro la seguridad de los pasajeros y la tripulación, y provocar accidentes graves.</t>
  </si>
  <si>
    <t>El término GAP (Ground Accident Prevention) se refiere a la prevención de accidentes en tierra en la industria de la aviación. Se centra en la identificación y mitigación de riesgos asociados con las operaciones en tierra, tanto en aeropuertos como en otros entornos relacionados con la
aviación. El GAP abarca una amplia gama de situaciones y riesgos potenciales que pueden ocurrir en tierra, incluyendo colisiones de vehículos en la plataforma, incidentes durante el movimiento de aeronaves, daños a la infraestructura del aeropuerto, errores en la carga y descarga, entre otros. Estos accidentes pueden tener graves consecuencias para la seguridad de las personas y la integridad de los equipos y las aeronaves.</t>
  </si>
  <si>
    <t>El término CFIT (Controlled Flight Into Terrain) se refiere a un tipo de accidente aéreo en el que una aeronave controlada impacta contra el terreno, como una montaña, colina, edificio u otra estructura física, a pesar de la disponibilidad de suficiente espacio de vuelo seguro.
El CFIT ocurre cuando una tripulación de vuelo no es consciente de la proximidad del terreno o no reconoce la altitud de la aeronave de manera precisa. Puede ser el resultado de diversos factores, como condiciones climáticas adversas, visibilidad reducida, errores humanos, falta de conciencia situacional, errores en la interpretación de instrumentos de vuelo o planificación inadecuada de la ruta.</t>
  </si>
  <si>
    <t>El término FOD (Foreign Object Damage) se refiere a los daños causados por objetos extraños o no deseados que ingresan al área operativa de una aeronave o alrededor de ella. Estos objetos pueden ser desde pequeños desechos, como piedras y herramientas, hasta objetos más grandes, como restos de aves, escombros y partes de aeronaves.
El FOD puede tener graves consecuencias para la seguridad de las aeronaves y las personas involucradas en las operaciones aéreas. Puede causar daños a los motores, hélices, trenes de aterrizaje, neumáticos y otras partes críticas de la aeronave, lo que potencialmente puede provocar accidentes e interrupciones en las operaciones.</t>
  </si>
  <si>
    <t>El término RIP (Runway Incursion Prevention) se refiere a la prevención de incursiones en pista. Una incursión en pista ocurre cuando un avión, vehículo o persona no autorizada entra en una pista activa sin la debida autorización, lo cual puede poner en riesgo la seguridad de las operaciones aéreas.
Las incursiones en pista son consideradas incidentes graves debido a su potencial para causar colisiones entre aeronaves, vehículos y personas. Pueden ocurrir por diversas razones, como errores de comunicación, confusiones de señalización, procedimientos inadecuados, falta de conciencia situacional, entre otros factores.</t>
  </si>
  <si>
    <t>El término ALAR se refiere a «Approach and Landing Accident Reduction», que en español significa «Reducción de Accidentes en Aproximación y Aterrizaje». ALAR es un enfoque de seguridad operacional en la aviación que se centra en la prevención de accidentes durante las fases críticas de aproximación y aterrizaje de una aeronave.
Estas fases del vuelo son especialmente susceptibles a errores humanos, factores ambientales y condiciones operacionales desafiantes, por lo que la implementación de medidas de seguridad específicas es fundamental para reducir los riesgos y mejorar la seguridad operacional.</t>
  </si>
  <si>
    <t>SKPR</t>
  </si>
  <si>
    <t>* Tendido eléctrico en trayectorias de despegue / aproximación.
* Torres Electricas - Obstáculos al "N".</t>
  </si>
  <si>
    <t>UNIDAD ADMINISTRATIVA ESPECIAL DE AERONÁUTICA CIVIL</t>
  </si>
  <si>
    <t>DESTINATARIO(S) / Adresse(s)</t>
  </si>
  <si>
    <t>REPÚBLICA DE COLOMBIA</t>
  </si>
  <si>
    <t>3 TIPO DE MENSAJE</t>
  </si>
  <si>
    <t>MESSAGE TYPE</t>
  </si>
  <si>
    <t>( FPL</t>
  </si>
  <si>
    <t>7 IDENTIFICACIÓN AERONAVE</t>
  </si>
  <si>
    <t>8 REGLAS DE VUELO</t>
  </si>
  <si>
    <t>Type of flight</t>
  </si>
  <si>
    <t xml:space="preserve"> -</t>
  </si>
  <si>
    <t>9 NÚMERO</t>
  </si>
  <si>
    <t>TIPO DE AERONAVE</t>
  </si>
  <si>
    <t>Number</t>
  </si>
  <si>
    <t>/</t>
  </si>
  <si>
    <t>CAT. DE ESTELA TURBULENTA</t>
  </si>
  <si>
    <t>Wake turbulence cat</t>
  </si>
  <si>
    <t>10 EQUIPO / Equipment</t>
  </si>
  <si>
    <t>13 AERÓDROMO DE SALIDA</t>
  </si>
  <si>
    <t>HORA</t>
  </si>
  <si>
    <t>Time</t>
  </si>
  <si>
    <t>15 VELOCIDAD DE CRUCERO</t>
  </si>
  <si>
    <t>NIVEL</t>
  </si>
  <si>
    <t>Level</t>
  </si>
  <si>
    <t>16 AERÓDROMO DE DESTINO</t>
  </si>
  <si>
    <t>Destination aerodrome</t>
  </si>
  <si>
    <t>MR</t>
  </si>
  <si>
    <t>MIN</t>
  </si>
  <si>
    <t>18 OTROS DATOS</t>
  </si>
  <si>
    <t>Other information</t>
  </si>
  <si>
    <t>INFORMACIÓN SUPLEMENTARIA (EN LOS MENSAJES FPL NO HAY QUE TRANSMITIR ESTOS DATOS)</t>
  </si>
  <si>
    <t>Supplementary information (Not to be transmitted in FPL messages)</t>
  </si>
  <si>
    <t>HR</t>
  </si>
  <si>
    <t>MN</t>
  </si>
  <si>
    <t>P/</t>
  </si>
  <si>
    <t>R/</t>
  </si>
  <si>
    <t>UHF</t>
  </si>
  <si>
    <t>VHF</t>
  </si>
  <si>
    <t>ELT</t>
  </si>
  <si>
    <t>EQUIPO DE SUPERVIVENCIA / Survival Equipment</t>
  </si>
  <si>
    <t>CHALECOS / Jackets</t>
  </si>
  <si>
    <t>POLAR</t>
  </si>
  <si>
    <t>Polar</t>
  </si>
  <si>
    <t>MARÍTIMO</t>
  </si>
  <si>
    <t>SELVA</t>
  </si>
  <si>
    <t>Jungle</t>
  </si>
  <si>
    <t>LUZ</t>
  </si>
  <si>
    <t>Light</t>
  </si>
  <si>
    <t>FLÚOR</t>
  </si>
  <si>
    <t>Fluores</t>
  </si>
  <si>
    <t>BOTES NEUMÁTICOS / Dinghies</t>
  </si>
  <si>
    <t>NÚMERO</t>
  </si>
  <si>
    <t>CAPACIDAD</t>
  </si>
  <si>
    <t>Capacity</t>
  </si>
  <si>
    <t>CUBIERTA</t>
  </si>
  <si>
    <t>Cover</t>
  </si>
  <si>
    <t>COLOR Y MARCAS DE LA AERONAVE / Aircraft colour and markings</t>
  </si>
  <si>
    <t>PILOTO AL MANDO - (NOMBRE COMPLETO) / Pilot in command ( full name)</t>
  </si>
  <si>
    <t>)</t>
  </si>
  <si>
    <t>PRESENTADO POR / Filled by</t>
  </si>
  <si>
    <t>FECHA / Date</t>
  </si>
  <si>
    <t>DÍA/day</t>
  </si>
  <si>
    <t>MES/month</t>
  </si>
  <si>
    <t>AÑO/year</t>
  </si>
  <si>
    <t>Clave: GSAN-2.2-12-04</t>
  </si>
  <si>
    <t>Versión: 01</t>
  </si>
  <si>
    <t>Fecha: 01/11/2014</t>
  </si>
  <si>
    <t>PLAN DE VUELO / Flight Plan</t>
  </si>
  <si>
    <t xml:space="preserve">   Principio de Procedencia _ _ _ _ 368</t>
  </si>
  <si>
    <t xml:space="preserve">        IDENTIFICACIÓN EXACTA DEL (DE LOS) DESTINATARIOS (S) Y/O DEL REMITENTE</t>
  </si>
  <si>
    <t xml:space="preserve">            Specific identification of address(s) and/or originator</t>
  </si>
  <si>
    <t xml:space="preserve">          REMITENTE / Originador</t>
  </si>
  <si>
    <t xml:space="preserve">     PRIORIDAD / Priority</t>
  </si>
  <si>
    <t xml:space="preserve">    Flight Rules</t>
  </si>
  <si>
    <t xml:space="preserve">    Aircraft Identification</t>
  </si>
  <si>
    <t xml:space="preserve">    EET TOTAL</t>
  </si>
  <si>
    <t xml:space="preserve">      Total EET</t>
  </si>
  <si>
    <t xml:space="preserve"> AERÓDROMO ALTN</t>
  </si>
  <si>
    <t xml:space="preserve">  ALTN Aerodrome</t>
  </si>
  <si>
    <t xml:space="preserve"> 2° AERÓDROMO ALTN</t>
  </si>
  <si>
    <t xml:space="preserve">  2nd ALT Aerodrome</t>
  </si>
  <si>
    <t xml:space="preserve">    EQUIPO RADIO DE EMERGENCIA</t>
  </si>
  <si>
    <t xml:space="preserve">      Emergency radio</t>
  </si>
  <si>
    <t xml:space="preserve"> PERSONAS A BORDO</t>
  </si>
  <si>
    <t xml:space="preserve">  Persons on board</t>
  </si>
  <si>
    <t xml:space="preserve"> 19 AUTONOMÍA</t>
  </si>
  <si>
    <t xml:space="preserve">    Endurance</t>
  </si>
  <si>
    <t>P</t>
  </si>
  <si>
    <t>M</t>
  </si>
  <si>
    <t>J</t>
  </si>
  <si>
    <t>U</t>
  </si>
  <si>
    <t>V</t>
  </si>
  <si>
    <t>L</t>
  </si>
  <si>
    <t>F</t>
  </si>
  <si>
    <t>OBSERVACIONES / Remarks</t>
  </si>
  <si>
    <t>N</t>
  </si>
  <si>
    <t>&lt;&lt; ☰</t>
  </si>
  <si>
    <t xml:space="preserve">    HORA DE DEPÓSITO</t>
  </si>
  <si>
    <t xml:space="preserve">       Filling Time</t>
  </si>
  <si>
    <t>S</t>
  </si>
  <si>
    <t>—</t>
  </si>
  <si>
    <t xml:space="preserve">      DESÉRTICO</t>
  </si>
  <si>
    <t>K</t>
  </si>
  <si>
    <t>G</t>
  </si>
  <si>
    <t>AZUL BLANCO DORADO LOGO FLYING</t>
  </si>
  <si>
    <t>I</t>
  </si>
  <si>
    <t>R</t>
  </si>
  <si>
    <t>H</t>
  </si>
  <si>
    <t xml:space="preserve"> LICENCIA / License</t>
  </si>
  <si>
    <t>O</t>
  </si>
  <si>
    <t>Q</t>
  </si>
  <si>
    <t>Z</t>
  </si>
  <si>
    <t>T</t>
  </si>
  <si>
    <t>&lt;&lt; ☰ FF</t>
  </si>
  <si>
    <t xml:space="preserve">        Desert</t>
  </si>
  <si>
    <t xml:space="preserve"> Maritime</t>
  </si>
  <si>
    <t>Route</t>
  </si>
  <si>
    <t xml:space="preserve">        Cruising speed</t>
  </si>
  <si>
    <t xml:space="preserve">    Departure aerodrome</t>
  </si>
  <si>
    <t xml:space="preserve"> Type of aircraft</t>
  </si>
  <si>
    <t xml:space="preserve"> ESPACIO RESERVADO PARA REQUISITOS ADICIONALES</t>
  </si>
  <si>
    <t xml:space="preserve"> Space reserved for additional requirements</t>
  </si>
  <si>
    <t xml:space="preserve">         IMPRESO POR (PAMAMERICANA) FORMAS E IMPRESOS S.A NIT 8000.175.475-5 TEL 430 21100
</t>
  </si>
  <si>
    <t>Página 1 de 1</t>
  </si>
  <si>
    <t>Santiago Velez</t>
  </si>
  <si>
    <t>IVA 1035865120</t>
  </si>
  <si>
    <t>Mantener comunicaciones y coordinación con el trafico aéreo, seguir la reglamentación y procedimientos para mantener la propia separación con otras aeronaves, prestar atención a la mirada periférica,  realizar escaneo visual constante en busca de otras aeronaves con actitud vigilante, si el avión cuenta con TCAS establecer contacto visual y realizar maniobras evasivas de ser necesario, evitar al máximo la desorientación espacial y mantener alta la conciencia situacional, mantener siempre separación horizontal y vertical de acuerdo a las reglas de vuelo en las que se vuele, reportar situaciones peligrosas, comunicar siempre las intenciones.</t>
  </si>
  <si>
    <t>Observación visual constante, uso de binoculares o dispositivos electrónicos, estar atento en la frecuencia a los anuncios de otras aeronaves y reportar avistamientos, mantener conciencia situacional alta, realizar maniobra evasiva, solicitar dispersión de aves a la autopridad encargada (si la hubiera).</t>
  </si>
  <si>
    <t>Comunicación y coordinación con frecuencia autoanuncios 122.9, estar atento a la frecuencia entre usted y otras aeronaves o equipo de tierra, tener conocimientos de procedimientos en tierra, realizar un escaneo visual constante, reportar incidentes o condiciones inseguras.</t>
  </si>
  <si>
    <t>Verificación del sistema GPWS (Si se tiene), ser claro en las comunicaciones, realizar un buen briefing de llegada y salida de acuerdo a las cartas, efectuar un planeamiento de ruta y evaluación de riesgos, siempre tener alta la conciencia situacional, siempre tener (Si es posible) contacto visual con el terreno, no volar con fatiga o automedicado, tomar decisiones basado en la seguridad, realizar un buen W&amp;B, no exceder pesos, realizar briefing a los pax en caso de turbulencias.</t>
  </si>
  <si>
    <t>Realizar inspección visual y limpieza en los alrededores de la aeronave, realizar control de fauna para evitar percances con animales durante fases criticas de vuelo, consultar RAC 139 sobre como prevenir FOD, solicitar (Si es posible) Inspección de pista, reportar mediante IRO hallazgos que puedan generar FOD.</t>
  </si>
  <si>
    <t>Respetar las señalizaciones y luces, marcas de pista y puntos de espera, asegurarse de haber comprendido que haran las otras aeronaves en la frecuencia, mantener una comunicación efectiva, reportar incidentes, informarse y cumplir con el RAC 139 y 143, realizar escaneo visual constante, conocer y seguir los SOP, uso de lenguaje estándar, mantener escucha activa en la frecuencia, identificar áreas restringidas.</t>
  </si>
  <si>
    <t>Identificación de riesgos específicos, monitoreo y evaluación continuo, mantener una comunicación clara y precisa en frecuencia autoanuncios 122.9, no volar fatigado, mantener siempre una aproximación estabilizada, usar siempre referencias visuales, evitar condiciones meteorológicas adversas, establecer prioridades, si es necesario realizar Go Around, mantener siempre la alineación con la pista, realizar el Flare y tocar con los trenes principales, verificar condiciones de la pista.</t>
  </si>
  <si>
    <t>Observación visual constante, uso de binoculares o dispositivos electrónicos, estar atento en la frecuencia a los anuncios de otras aeronaves y reportar avistamientos, mantener conciencia situacional alta, realizar maniobra evasiva, solicitar dispersión de aves al ATC.</t>
  </si>
  <si>
    <t>Comunicación y coordinación con el ATC, estar atento a la frecuencia entre ATC y otras aeronaves o equipo de tierra, tener conocimientos de procedimientos en tierra, realizar un escaneo visual constante, reportar incidentes o condiciones inseguras, solicitar al ATC o IR la revisión de la pista.</t>
  </si>
  <si>
    <t>Respetar las señalizaciones y luces, marcas de pista y puntos de espera, asegurarse de haber comprendido las instrucciones dadas por el ATC manteniendo una comunicación efectiva, reportar incidentes, informarse y cumplir con el RAC 139 y 143, realizar escaneo visual constante, conocer y seguir los SOP, uso de lenguaje estándar, mantener escucha activa en la frecuencia, identificar áreas restringidas.</t>
  </si>
  <si>
    <t>Identificación de riesgos específicos, monitoreo y evaluación continuo, mantener una comunicación clara y precisa con el ATC, no volar fatigado, mantener siempre una aproximación estabilizada, usar siempre referencias visuales, evitar condiciones meteorológicas adversas, establecer prioridades, si es necesario realizar Go Around, mantener siempre la alineación con la pista, realizar el Flare y tocar con los trenes principales, verificar condiciones de la pista.</t>
  </si>
  <si>
    <t>LISTA DE VERIFICACIÓN DE SEGURIDAD OPERACIONAL PREVUELO</t>
  </si>
  <si>
    <t>En caso de Riesgo ACEPTABLE proceder con el vuelo.
En caso de Riesgo MEDIO realizar briefing y mitigación.
En caso de Riesgo ALTO informar a Director de Operaciones</t>
  </si>
  <si>
    <t>Código: F-SO-26</t>
  </si>
  <si>
    <t>Solo / Piloto Al Mando</t>
  </si>
  <si>
    <t>Vuelo Doble Mando</t>
  </si>
  <si>
    <t>EFB´s - Min 80%* - 30%</t>
  </si>
  <si>
    <t>Limpiavidrios y Paños **</t>
  </si>
  <si>
    <t>Si alguna de estas condiciones no es verídica o no se sigue, el Piloto Instructor / de Seguridad deberá cancelar la lección y el Piloto Alumno / al Mando deberá pagarla según sea el caso, teniendo en cuenta la "Política de Programación de Vuelo" de la Escuela de Aviación Flying.</t>
  </si>
  <si>
    <t>El Piloto Instructor / Piloto de Seguridad certifica que revisó la información y 
que todos estos ítems de seguridad fueron verificados para un vuelo seguro.</t>
  </si>
  <si>
    <t>El Piloto Alumno / Al Mando certifica que toda la información está completa 
y es verídica, confirmando las condiciones para un vuelo seguro.</t>
  </si>
  <si>
    <t>El Piloto Instructor / de Seguridad certifica que el piloto alumno 
cumple con los requerimientos y lo autoriza a efectuar el
vuelo Solo / Al Mando en la aeronave el dia de hoy.</t>
  </si>
  <si>
    <t>El Piloto Alumno / Al Mando confirma y certifica que se encuentra 
apto fisica y mentalmente para la aeronave el dia de hoy.</t>
  </si>
  <si>
    <t>El Piloto Alumno / Al Mando asegura que recibe en buenas condiciones el equipo EFB asignado y se hace responsable del cuidado y seguridad del mismo.</t>
  </si>
  <si>
    <t>Lección</t>
  </si>
  <si>
    <t>PS1</t>
  </si>
  <si>
    <t>FSTD PPA1</t>
  </si>
  <si>
    <t>PS2</t>
  </si>
  <si>
    <t>FSTD PPA2</t>
  </si>
  <si>
    <t>PS3</t>
  </si>
  <si>
    <t>PS4</t>
  </si>
  <si>
    <t>PS5</t>
  </si>
  <si>
    <t>PS6</t>
  </si>
  <si>
    <t>Chequeo Final Etapa 1</t>
  </si>
  <si>
    <t>PPA1</t>
  </si>
  <si>
    <t>PPA2</t>
  </si>
  <si>
    <t>FSTD PPA3</t>
  </si>
  <si>
    <t xml:space="preserve">PPA3 </t>
  </si>
  <si>
    <t>PPA4</t>
  </si>
  <si>
    <t>Chequeo Final Etapa 2</t>
  </si>
  <si>
    <t>PPA5</t>
  </si>
  <si>
    <t>PPA6</t>
  </si>
  <si>
    <t>Chequeo Final Etapa 3</t>
  </si>
  <si>
    <t>PCA1</t>
  </si>
  <si>
    <t>PCA2</t>
  </si>
  <si>
    <t>Chequeo Etapa 4,1</t>
  </si>
  <si>
    <t>PCA3</t>
  </si>
  <si>
    <t>PCA4</t>
  </si>
  <si>
    <t>Chequeo Etapa 4,2</t>
  </si>
  <si>
    <t>PCA5</t>
  </si>
  <si>
    <t>PCA6</t>
  </si>
  <si>
    <t>Chequeo Final Etapa 4</t>
  </si>
  <si>
    <t>PCA-FTDFSTD1</t>
  </si>
  <si>
    <t>PCA7</t>
  </si>
  <si>
    <t>PCA8</t>
  </si>
  <si>
    <t>PCA9</t>
  </si>
  <si>
    <t>PCA10</t>
  </si>
  <si>
    <t>Chequeo Etapa 5,1</t>
  </si>
  <si>
    <t>PCA11</t>
  </si>
  <si>
    <t>Chequeo Final Etapa 5</t>
  </si>
  <si>
    <t>IFR-FSTD1</t>
  </si>
  <si>
    <t>IFR1</t>
  </si>
  <si>
    <t>IFR-FSTD2</t>
  </si>
  <si>
    <t>IFR2</t>
  </si>
  <si>
    <t>IFR-FSTD3</t>
  </si>
  <si>
    <t>IFR3</t>
  </si>
  <si>
    <t>IFR-FSTD4</t>
  </si>
  <si>
    <t>IFR4</t>
  </si>
  <si>
    <t>IFR-FSTD5</t>
  </si>
  <si>
    <t>IFR5</t>
  </si>
  <si>
    <t>IVA1</t>
  </si>
  <si>
    <t>IVA2</t>
  </si>
  <si>
    <t>IVA3</t>
  </si>
  <si>
    <t>IVA4</t>
  </si>
  <si>
    <t>IVA5</t>
  </si>
  <si>
    <t>IVA6</t>
  </si>
  <si>
    <t>IVA7</t>
  </si>
  <si>
    <t>Fase / Lección</t>
  </si>
  <si>
    <t xml:space="preserve"> Primer Vuelo Solo</t>
  </si>
  <si>
    <t>BRAZO ( INCH )</t>
  </si>
  <si>
    <t>EFB - Asigando</t>
  </si>
  <si>
    <t>Sobrevuelo Aerodrómo No Controlado</t>
  </si>
  <si>
    <t>Piloto Alumno</t>
  </si>
  <si>
    <t>Piloto Instructor</t>
  </si>
  <si>
    <t>Fase / Lección de Instrucción</t>
  </si>
  <si>
    <t>Fase / Lección de instrucción</t>
  </si>
  <si>
    <t>PILOTO ALUMNO</t>
  </si>
  <si>
    <t>PILOTO INSTRUCTOR</t>
  </si>
  <si>
    <t>Pre-vuelo Alumno</t>
  </si>
  <si>
    <t>Pre-vuelo Insructor</t>
  </si>
  <si>
    <t>Tripadi 1 + Tripadi 2</t>
  </si>
  <si>
    <t>Piloto
Alumno</t>
  </si>
  <si>
    <t>Piloto
Instructor</t>
  </si>
  <si>
    <t>Experiencia de Vuelo</t>
  </si>
  <si>
    <t>Daniel Monroy</t>
  </si>
  <si>
    <t>IVA 1002460943</t>
  </si>
  <si>
    <t>Versión: 02</t>
  </si>
  <si>
    <t>Fecha: 01-10-2025</t>
  </si>
  <si>
    <t>Diego Correa</t>
  </si>
  <si>
    <t>IVA 1053</t>
  </si>
  <si>
    <t>Santiago Caicedo</t>
  </si>
  <si>
    <t>IVA 1890</t>
  </si>
  <si>
    <t>HORAS TECNAM</t>
  </si>
  <si>
    <t>IVA 1328</t>
  </si>
  <si>
    <t>Luis Carlos Andrade</t>
  </si>
  <si>
    <t>Rafael Cardenas</t>
  </si>
  <si>
    <t>IVA 79422356</t>
  </si>
  <si>
    <t>&lt; 1000 hrs</t>
  </si>
  <si>
    <t>Jairo Gomez</t>
  </si>
  <si>
    <t>IVA 2459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</si>
</sst>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mm/yyyy;@"/>
    <numFmt numFmtId="165" formatCode="0.000"/>
    <numFmt numFmtId="166" formatCode="0.0"/>
    <numFmt numFmtId="167" formatCode="0.00000"/>
  </numFmts>
  <fonts count="64" x14ac:knownFonts="1">
    <font>
      <sz val="11"/>
      <color theme="1"/>
      <name val="Calibri"/>
      <family val="2"/>
      <scheme val="minor"/>
    </font>
    <font>
      <sz val="12"/>
      <color theme="1"/>
      <name val="Calibri"/>
      <family val="2"/>
      <scheme val="minor"/>
    </font>
    <font>
      <b/>
      <sz val="12"/>
      <color theme="1"/>
      <name val="Calibri"/>
      <family val="2"/>
      <scheme val="minor"/>
    </font>
    <font>
      <sz val="11"/>
      <color theme="1"/>
      <name val="Calibri"/>
      <family val="2"/>
      <scheme val="minor"/>
    </font>
    <font>
      <b/>
      <sz val="14"/>
      <color theme="1"/>
      <name val="Calibri"/>
      <family val="2"/>
      <scheme val="minor"/>
    </font>
    <font>
      <b/>
      <sz val="24"/>
      <color theme="1"/>
      <name val="Calibri"/>
      <family val="2"/>
      <scheme val="minor"/>
    </font>
    <font>
      <b/>
      <sz val="11"/>
      <color theme="1"/>
      <name val="Calibri"/>
      <family val="2"/>
      <scheme val="minor"/>
    </font>
    <font>
      <b/>
      <sz val="13"/>
      <color theme="1"/>
      <name val="Calibri"/>
      <family val="2"/>
      <scheme val="minor"/>
    </font>
    <font>
      <sz val="13"/>
      <color theme="1"/>
      <name val="Calibri"/>
      <family val="2"/>
      <scheme val="minor"/>
    </font>
    <font>
      <b/>
      <sz val="11"/>
      <color rgb="FF000000"/>
      <name val="Calibri"/>
      <family val="2"/>
      <scheme val="minor"/>
    </font>
    <font>
      <sz val="10"/>
      <color theme="1"/>
      <name val="Calibri"/>
      <family val="2"/>
      <scheme val="minor"/>
    </font>
    <font>
      <sz val="11"/>
      <color theme="0"/>
      <name val="Calibri"/>
      <family val="2"/>
      <scheme val="minor"/>
    </font>
    <font>
      <b/>
      <sz val="15"/>
      <color rgb="FFFF0000"/>
      <name val="Calibri"/>
      <family val="2"/>
      <scheme val="minor"/>
    </font>
    <font>
      <b/>
      <sz val="15"/>
      <color theme="9"/>
      <name val="Calibri"/>
      <family val="2"/>
      <scheme val="minor"/>
    </font>
    <font>
      <b/>
      <sz val="15"/>
      <color theme="8"/>
      <name val="Calibri"/>
      <family val="2"/>
      <scheme val="minor"/>
    </font>
    <font>
      <sz val="6"/>
      <color theme="1"/>
      <name val="Calibri"/>
      <family val="2"/>
      <scheme val="minor"/>
    </font>
    <font>
      <sz val="10"/>
      <name val="Arial"/>
      <family val="2"/>
      <charset val="238"/>
    </font>
    <font>
      <sz val="11"/>
      <name val="Calibri"/>
      <family val="2"/>
      <scheme val="minor"/>
    </font>
    <font>
      <b/>
      <sz val="15"/>
      <color theme="1"/>
      <name val="Calibri"/>
      <family val="2"/>
      <scheme val="minor"/>
    </font>
    <font>
      <sz val="11"/>
      <color rgb="FF000000"/>
      <name val="Calibri"/>
      <family val="2"/>
    </font>
    <font>
      <b/>
      <sz val="12"/>
      <color rgb="FF000000"/>
      <name val="Calibri"/>
      <family val="2"/>
      <scheme val="minor"/>
    </font>
    <font>
      <sz val="11"/>
      <color theme="9" tint="-0.499984740745262"/>
      <name val="Calibri"/>
      <family val="2"/>
      <scheme val="minor"/>
    </font>
    <font>
      <sz val="11"/>
      <color rgb="FFFF0000"/>
      <name val="Calibri"/>
      <family val="2"/>
      <scheme val="minor"/>
    </font>
    <font>
      <b/>
      <sz val="6"/>
      <color theme="1"/>
      <name val="Calibri"/>
      <family val="2"/>
      <scheme val="minor"/>
    </font>
    <font>
      <b/>
      <sz val="11"/>
      <color theme="9"/>
      <name val="Calibri"/>
      <family val="2"/>
      <scheme val="minor"/>
    </font>
    <font>
      <b/>
      <sz val="11"/>
      <color rgb="FFFF0000"/>
      <name val="Calibri"/>
      <family val="2"/>
      <scheme val="minor"/>
    </font>
    <font>
      <b/>
      <sz val="11"/>
      <color theme="8"/>
      <name val="Calibri"/>
      <family val="2"/>
      <scheme val="minor"/>
    </font>
    <font>
      <sz val="10"/>
      <color rgb="FFFF0000"/>
      <name val="Calibri"/>
      <family val="2"/>
      <scheme val="minor"/>
    </font>
    <font>
      <sz val="9"/>
      <name val="Arial"/>
      <family val="2"/>
    </font>
    <font>
      <sz val="9"/>
      <color theme="1"/>
      <name val="Calibri"/>
      <family val="2"/>
      <scheme val="minor"/>
    </font>
    <font>
      <u/>
      <sz val="11"/>
      <color theme="10"/>
      <name val="Calibri"/>
      <family val="2"/>
      <scheme val="minor"/>
    </font>
    <font>
      <sz val="30"/>
      <color theme="1"/>
      <name val="Calibri"/>
      <family val="2"/>
      <scheme val="minor"/>
    </font>
    <font>
      <b/>
      <sz val="11"/>
      <name val="Arial"/>
      <family val="2"/>
    </font>
    <font>
      <sz val="11"/>
      <color rgb="FFFCAB78"/>
      <name val="Calibri"/>
      <family val="2"/>
      <scheme val="minor"/>
    </font>
    <font>
      <sz val="11"/>
      <color rgb="FFFFEB83"/>
      <name val="Calibri"/>
      <family val="2"/>
      <scheme val="minor"/>
    </font>
    <font>
      <sz val="11"/>
      <color rgb="FFFA696A"/>
      <name val="Calibri"/>
      <family val="2"/>
      <scheme val="minor"/>
    </font>
    <font>
      <sz val="11"/>
      <color rgb="FFB1D480"/>
      <name val="Calibri"/>
      <family val="2"/>
      <scheme val="minor"/>
    </font>
    <font>
      <sz val="11"/>
      <color rgb="FF63BE7B"/>
      <name val="Calibri"/>
      <family val="2"/>
      <scheme val="minor"/>
    </font>
    <font>
      <b/>
      <sz val="11"/>
      <name val="Calibri"/>
      <family val="2"/>
      <scheme val="minor"/>
    </font>
    <font>
      <sz val="8"/>
      <name val="Calibri"/>
      <family val="2"/>
      <scheme val="minor"/>
    </font>
    <font>
      <b/>
      <sz val="11"/>
      <color theme="1"/>
      <name val="Arial"/>
      <family val="2"/>
    </font>
    <font>
      <sz val="10"/>
      <color theme="1"/>
      <name val="Arial"/>
      <family val="2"/>
    </font>
    <font>
      <sz val="11"/>
      <color theme="1"/>
      <name val="Arial"/>
      <family val="2"/>
    </font>
    <font>
      <sz val="7"/>
      <color theme="1"/>
      <name val="Arial"/>
      <family val="2"/>
    </font>
    <font>
      <b/>
      <sz val="11.5"/>
      <color theme="1"/>
      <name val="Arial"/>
      <family val="2"/>
    </font>
    <font>
      <sz val="9"/>
      <color theme="1"/>
      <name val="Arial"/>
      <family val="2"/>
    </font>
    <font>
      <sz val="8"/>
      <color theme="1"/>
      <name val="Arial"/>
      <family val="2"/>
    </font>
    <font>
      <sz val="7.5"/>
      <color theme="1"/>
      <name val="Arial"/>
      <family val="2"/>
    </font>
    <font>
      <sz val="6"/>
      <color theme="1"/>
      <name val="Arial"/>
      <family val="2"/>
    </font>
    <font>
      <sz val="9"/>
      <color rgb="FFFF0000"/>
      <name val="Arial"/>
      <family val="2"/>
    </font>
    <font>
      <sz val="10"/>
      <color rgb="FFFF0000"/>
      <name val="Arial"/>
      <family val="2"/>
    </font>
    <font>
      <sz val="6.5"/>
      <color theme="1"/>
      <name val="Arial"/>
      <family val="2"/>
    </font>
    <font>
      <sz val="13"/>
      <color theme="1"/>
      <name val="Arial"/>
      <family val="2"/>
    </font>
    <font>
      <sz val="14"/>
      <color theme="1"/>
      <name val="Arial"/>
      <family val="2"/>
    </font>
    <font>
      <sz val="12"/>
      <color theme="1"/>
      <name val="Arial"/>
      <family val="2"/>
    </font>
    <font>
      <b/>
      <sz val="14"/>
      <color theme="1"/>
      <name val="Arial"/>
      <family val="2"/>
    </font>
    <font>
      <b/>
      <sz val="11"/>
      <color rgb="FFFF0000"/>
      <name val="Arial"/>
      <family val="2"/>
    </font>
    <font>
      <b/>
      <sz val="10"/>
      <color theme="1"/>
      <name val="Arial"/>
      <family val="2"/>
    </font>
    <font>
      <b/>
      <sz val="9"/>
      <color theme="1"/>
      <name val="Arial"/>
      <family val="2"/>
    </font>
    <font>
      <b/>
      <sz val="11"/>
      <color theme="0" tint="-0.249977111117893"/>
      <name val="Arial"/>
      <family val="2"/>
    </font>
    <font>
      <sz val="3"/>
      <color theme="1"/>
      <name val="Arial"/>
      <family val="2"/>
    </font>
    <font>
      <sz val="5.5"/>
      <color theme="1"/>
      <name val="Arial"/>
      <family val="2"/>
    </font>
    <font>
      <sz val="11"/>
      <color theme="4"/>
      <name val="Calibri"/>
      <family val="2"/>
      <scheme val="minor"/>
    </font>
    <font>
      <b/>
      <sz val="10"/>
      <color theme="1"/>
      <name val="Calibri"/>
      <family val="2"/>
      <scheme val="minor"/>
    </font>
  </fonts>
  <fills count="14">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D9D9D9"/>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rgb="FFD9D9D9"/>
        <bgColor rgb="FF000000"/>
      </patternFill>
    </fill>
    <fill>
      <patternFill patternType="solid">
        <fgColor rgb="FFFAFAFA"/>
        <bgColor indexed="64"/>
      </patternFill>
    </fill>
    <fill>
      <patternFill patternType="solid">
        <fgColor rgb="FFF9F9F9"/>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70">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dotted">
        <color indexed="64"/>
      </left>
      <right style="dotted">
        <color indexed="64"/>
      </right>
      <top style="dotted">
        <color indexed="64"/>
      </top>
      <bottom style="dotted">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dotted">
        <color indexed="64"/>
      </right>
      <top style="thin">
        <color indexed="64"/>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right style="dotted">
        <color indexed="64"/>
      </right>
      <top style="thin">
        <color indexed="64"/>
      </top>
      <bottom style="dotted">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style="thin">
        <color indexed="64"/>
      </bottom>
      <diagonal/>
    </border>
    <border>
      <left/>
      <right style="dotted">
        <color indexed="64"/>
      </right>
      <top/>
      <bottom style="thin">
        <color indexed="64"/>
      </bottom>
      <diagonal/>
    </border>
    <border>
      <left/>
      <right style="dotted">
        <color indexed="64"/>
      </right>
      <top/>
      <bottom/>
      <diagonal/>
    </border>
    <border>
      <left style="dotted">
        <color indexed="64"/>
      </left>
      <right/>
      <top style="dotted">
        <color indexed="64"/>
      </top>
      <bottom style="thin">
        <color indexed="64"/>
      </bottom>
      <diagonal/>
    </border>
    <border>
      <left/>
      <right style="thin">
        <color indexed="64"/>
      </right>
      <top style="dotted">
        <color indexed="64"/>
      </top>
      <bottom style="thin">
        <color indexed="64"/>
      </bottom>
      <diagonal/>
    </border>
    <border>
      <left style="dotted">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thin">
        <color indexed="64"/>
      </top>
      <bottom style="dotted">
        <color indexed="64"/>
      </bottom>
      <diagonal/>
    </border>
    <border>
      <left/>
      <right style="thin">
        <color rgb="FF000000"/>
      </right>
      <top style="thin">
        <color indexed="64"/>
      </top>
      <bottom style="thin">
        <color indexed="64"/>
      </bottom>
      <diagonal/>
    </border>
    <border>
      <left style="thin">
        <color indexed="64"/>
      </left>
      <right style="dashed">
        <color theme="0" tint="-0.14996795556505021"/>
      </right>
      <top style="thin">
        <color indexed="64"/>
      </top>
      <bottom style="thin">
        <color indexed="64"/>
      </bottom>
      <diagonal/>
    </border>
    <border>
      <left style="dashed">
        <color theme="0" tint="-0.14996795556505021"/>
      </left>
      <right style="dashed">
        <color theme="0" tint="-0.14996795556505021"/>
      </right>
      <top style="thin">
        <color indexed="64"/>
      </top>
      <bottom style="thin">
        <color indexed="64"/>
      </bottom>
      <diagonal/>
    </border>
    <border>
      <left style="dashed">
        <color theme="0" tint="-0.14996795556505021"/>
      </left>
      <right style="thin">
        <color indexed="64"/>
      </right>
      <top style="thin">
        <color indexed="64"/>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4">
    <xf numFmtId="0" fontId="0" fillId="0" borderId="0"/>
    <xf numFmtId="0" fontId="16" fillId="0" borderId="0"/>
    <xf numFmtId="0" fontId="19" fillId="0" borderId="0"/>
    <xf numFmtId="0" fontId="30" fillId="0" borderId="0" applyNumberFormat="0" applyFill="0" applyBorder="0" applyAlignment="0" applyProtection="0"/>
  </cellStyleXfs>
  <cellXfs count="646">
    <xf numFmtId="0" fontId="0" fillId="0" borderId="0" xfId="0"/>
    <xf numFmtId="0" fontId="0" fillId="0" borderId="3" xfId="0" applyBorder="1" applyAlignment="1" applyProtection="1">
      <alignment horizontal="center" vertical="center"/>
      <protection locked="0"/>
    </xf>
    <xf numFmtId="14" fontId="7" fillId="0" borderId="3" xfId="0" applyNumberFormat="1" applyFont="1" applyBorder="1" applyAlignment="1" applyProtection="1">
      <alignment horizontal="center" vertical="center" wrapText="1"/>
      <protection locked="0"/>
    </xf>
    <xf numFmtId="0" fontId="0" fillId="0" borderId="11"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1" fontId="0" fillId="0" borderId="3" xfId="0" applyNumberFormat="1" applyBorder="1" applyAlignment="1" applyProtection="1">
      <alignment horizontal="center" vertical="center"/>
      <protection locked="0"/>
    </xf>
    <xf numFmtId="1" fontId="7" fillId="0" borderId="3" xfId="0" applyNumberFormat="1" applyFont="1" applyBorder="1" applyAlignment="1" applyProtection="1">
      <alignment horizontal="center" vertical="center" wrapText="1"/>
      <protection locked="0"/>
    </xf>
    <xf numFmtId="14" fontId="2" fillId="0" borderId="3" xfId="0" applyNumberFormat="1" applyFont="1" applyBorder="1" applyAlignment="1" applyProtection="1">
      <alignment horizontal="center" vertical="center" wrapText="1"/>
      <protection locked="0"/>
    </xf>
    <xf numFmtId="14" fontId="7" fillId="0" borderId="11" xfId="0" applyNumberFormat="1" applyFont="1" applyBorder="1" applyAlignment="1" applyProtection="1">
      <alignment horizontal="center" vertical="center" wrapText="1"/>
      <protection locked="0"/>
    </xf>
    <xf numFmtId="0" fontId="0" fillId="2" borderId="0" xfId="0" applyFill="1" applyAlignment="1">
      <alignment vertical="center"/>
    </xf>
    <xf numFmtId="0" fontId="0" fillId="2" borderId="0" xfId="0" applyFill="1" applyAlignment="1">
      <alignment horizontal="center" vertical="center"/>
    </xf>
    <xf numFmtId="0" fontId="0" fillId="2" borderId="0" xfId="0" applyFill="1" applyAlignment="1">
      <alignment horizontal="right" vertical="center"/>
    </xf>
    <xf numFmtId="0" fontId="0" fillId="0" borderId="0" xfId="0" applyAlignment="1">
      <alignment horizontal="center" vertical="center"/>
    </xf>
    <xf numFmtId="0" fontId="0" fillId="0" borderId="0" xfId="0" applyAlignment="1">
      <alignment vertical="center"/>
    </xf>
    <xf numFmtId="0" fontId="6" fillId="0" borderId="3" xfId="0" applyFont="1" applyBorder="1" applyAlignment="1">
      <alignment horizontal="center" vertical="center"/>
    </xf>
    <xf numFmtId="0" fontId="3" fillId="0" borderId="3" xfId="0" applyFont="1" applyBorder="1" applyAlignment="1">
      <alignment horizontal="center" vertical="center"/>
    </xf>
    <xf numFmtId="0" fontId="0" fillId="0" borderId="3" xfId="0" applyBorder="1" applyAlignment="1">
      <alignment horizontal="center" vertical="center"/>
    </xf>
    <xf numFmtId="0" fontId="17" fillId="0" borderId="3" xfId="1" applyFont="1" applyBorder="1" applyAlignment="1">
      <alignment horizontal="center" vertical="center"/>
    </xf>
    <xf numFmtId="167" fontId="0" fillId="0" borderId="3" xfId="0" applyNumberFormat="1" applyBorder="1" applyAlignment="1">
      <alignment horizontal="center" vertical="center"/>
    </xf>
    <xf numFmtId="0" fontId="0" fillId="4" borderId="3" xfId="0" applyFill="1" applyBorder="1" applyAlignment="1">
      <alignment horizontal="center" vertical="center"/>
    </xf>
    <xf numFmtId="14" fontId="2" fillId="0" borderId="3" xfId="0" applyNumberFormat="1" applyFont="1" applyBorder="1" applyAlignment="1">
      <alignment horizontal="center" vertical="center" wrapText="1"/>
    </xf>
    <xf numFmtId="14" fontId="2" fillId="3" borderId="3" xfId="0" applyNumberFormat="1" applyFont="1" applyFill="1" applyBorder="1" applyAlignment="1">
      <alignment horizontal="center" vertical="center" wrapText="1"/>
    </xf>
    <xf numFmtId="0" fontId="6" fillId="3" borderId="3" xfId="0" applyFont="1" applyFill="1" applyBorder="1" applyAlignment="1">
      <alignment horizontal="center" vertical="center"/>
    </xf>
    <xf numFmtId="14" fontId="2" fillId="6" borderId="3" xfId="0" applyNumberFormat="1" applyFont="1" applyFill="1" applyBorder="1" applyAlignment="1">
      <alignment horizontal="center" vertical="center" wrapText="1"/>
    </xf>
    <xf numFmtId="0" fontId="2" fillId="6" borderId="3" xfId="0" applyFont="1" applyFill="1" applyBorder="1" applyAlignment="1">
      <alignment horizontal="center" vertical="center" wrapText="1"/>
    </xf>
    <xf numFmtId="0" fontId="2" fillId="3" borderId="3" xfId="0" applyFont="1" applyFill="1" applyBorder="1" applyAlignment="1">
      <alignment horizontal="center" vertical="center"/>
    </xf>
    <xf numFmtId="0" fontId="2" fillId="5" borderId="3" xfId="0" applyFont="1" applyFill="1" applyBorder="1" applyAlignment="1">
      <alignment horizontal="center" vertical="center" wrapText="1"/>
    </xf>
    <xf numFmtId="0" fontId="6" fillId="6" borderId="3" xfId="0" applyFont="1" applyFill="1" applyBorder="1" applyAlignment="1">
      <alignment horizontal="center" vertical="center" wrapText="1"/>
    </xf>
    <xf numFmtId="165" fontId="6" fillId="0" borderId="3" xfId="0" applyNumberFormat="1" applyFont="1" applyBorder="1" applyAlignment="1">
      <alignment horizontal="center" vertical="center" wrapText="1"/>
    </xf>
    <xf numFmtId="166" fontId="6" fillId="0" borderId="3" xfId="0" applyNumberFormat="1" applyFont="1" applyBorder="1" applyAlignment="1">
      <alignment horizontal="center" vertical="center" wrapText="1"/>
    </xf>
    <xf numFmtId="165" fontId="0" fillId="0" borderId="3" xfId="0" applyNumberFormat="1" applyBorder="1" applyAlignment="1">
      <alignment horizontal="center" vertical="center" wrapText="1"/>
    </xf>
    <xf numFmtId="14" fontId="7" fillId="0" borderId="3" xfId="0" applyNumberFormat="1" applyFont="1" applyBorder="1" applyAlignment="1">
      <alignment horizontal="center" vertical="center" wrapText="1"/>
    </xf>
    <xf numFmtId="0" fontId="0" fillId="0" borderId="3" xfId="0" applyBorder="1" applyAlignment="1">
      <alignment horizontal="left" vertical="center" wrapText="1" indent="1"/>
    </xf>
    <xf numFmtId="0" fontId="0" fillId="0" borderId="3" xfId="0" applyBorder="1" applyAlignment="1">
      <alignment horizontal="left" vertical="center" indent="1"/>
    </xf>
    <xf numFmtId="166" fontId="0" fillId="0" borderId="3" xfId="0" applyNumberFormat="1" applyBorder="1" applyAlignment="1">
      <alignment horizontal="center" vertical="center" wrapText="1"/>
    </xf>
    <xf numFmtId="0" fontId="6" fillId="3" borderId="3" xfId="0" applyFont="1" applyFill="1" applyBorder="1" applyAlignment="1">
      <alignment horizontal="center" vertical="center" wrapText="1"/>
    </xf>
    <xf numFmtId="165" fontId="2" fillId="0" borderId="3" xfId="0" applyNumberFormat="1" applyFont="1" applyBorder="1" applyAlignment="1">
      <alignment horizontal="center" vertical="center" wrapText="1"/>
    </xf>
    <xf numFmtId="166" fontId="0" fillId="6" borderId="10" xfId="0" applyNumberFormat="1" applyFill="1" applyBorder="1" applyAlignment="1">
      <alignment horizontal="center" vertical="center" wrapText="1"/>
    </xf>
    <xf numFmtId="0" fontId="10" fillId="0" borderId="3" xfId="0" applyFont="1" applyBorder="1" applyAlignment="1">
      <alignment horizontal="left" vertical="center" wrapText="1" indent="1"/>
    </xf>
    <xf numFmtId="165" fontId="6" fillId="6" borderId="3" xfId="0" applyNumberFormat="1" applyFont="1" applyFill="1" applyBorder="1" applyAlignment="1">
      <alignment horizontal="center" vertical="center" wrapText="1"/>
    </xf>
    <xf numFmtId="0" fontId="0" fillId="0" borderId="3" xfId="0" applyBorder="1" applyAlignment="1">
      <alignment horizontal="left" vertical="center" wrapText="1"/>
    </xf>
    <xf numFmtId="0" fontId="0" fillId="0" borderId="0" xfId="0" applyAlignment="1">
      <alignment horizontal="center" vertical="center" wrapText="1"/>
    </xf>
    <xf numFmtId="0" fontId="8" fillId="0" borderId="3" xfId="0" applyFont="1" applyBorder="1" applyAlignment="1">
      <alignment horizontal="center" vertical="center" wrapText="1"/>
    </xf>
    <xf numFmtId="0" fontId="0" fillId="0" borderId="10" xfId="0" applyBorder="1" applyAlignment="1">
      <alignment horizontal="left" vertical="center" wrapText="1"/>
    </xf>
    <xf numFmtId="14" fontId="7" fillId="0" borderId="11" xfId="0" applyNumberFormat="1" applyFont="1" applyBorder="1" applyAlignment="1">
      <alignment horizontal="center" vertical="center" wrapText="1"/>
    </xf>
    <xf numFmtId="0" fontId="0" fillId="0" borderId="11" xfId="0" applyBorder="1" applyAlignment="1">
      <alignment horizontal="left" vertical="center" wrapText="1" indent="1"/>
    </xf>
    <xf numFmtId="0" fontId="6" fillId="3" borderId="4" xfId="0" applyFont="1" applyFill="1" applyBorder="1" applyAlignment="1">
      <alignment horizontal="center" vertical="center"/>
    </xf>
    <xf numFmtId="0" fontId="0" fillId="0" borderId="0" xfId="0" applyAlignment="1">
      <alignment horizontal="right" vertical="center"/>
    </xf>
    <xf numFmtId="166" fontId="0" fillId="0" borderId="3" xfId="0" applyNumberFormat="1" applyBorder="1" applyAlignment="1" applyProtection="1">
      <alignment horizontal="center" vertical="center"/>
      <protection locked="0"/>
    </xf>
    <xf numFmtId="166" fontId="7" fillId="0" borderId="3" xfId="0" applyNumberFormat="1" applyFont="1" applyBorder="1" applyAlignment="1">
      <alignment horizontal="center" vertical="center" wrapText="1"/>
    </xf>
    <xf numFmtId="14" fontId="2" fillId="2" borderId="1" xfId="0" applyNumberFormat="1" applyFont="1" applyFill="1" applyBorder="1" applyAlignment="1">
      <alignment horizontal="center" vertical="center" wrapText="1"/>
    </xf>
    <xf numFmtId="14" fontId="2" fillId="2" borderId="0" xfId="0" applyNumberFormat="1" applyFont="1" applyFill="1" applyAlignment="1">
      <alignment horizontal="center" vertical="center" wrapText="1"/>
    </xf>
    <xf numFmtId="0" fontId="2" fillId="2" borderId="0" xfId="0" applyFont="1" applyFill="1" applyAlignment="1">
      <alignment horizontal="center" vertical="center" wrapText="1"/>
    </xf>
    <xf numFmtId="0" fontId="6" fillId="2" borderId="0" xfId="0" applyFont="1" applyFill="1" applyAlignment="1">
      <alignment horizontal="center" vertical="center" wrapText="1"/>
    </xf>
    <xf numFmtId="0" fontId="0" fillId="2" borderId="0" xfId="0" applyFill="1" applyAlignment="1">
      <alignment horizontal="left" vertical="center" wrapText="1"/>
    </xf>
    <xf numFmtId="0" fontId="10" fillId="2" borderId="0" xfId="0" applyFont="1" applyFill="1" applyAlignment="1">
      <alignment horizontal="left" vertical="center" wrapText="1"/>
    </xf>
    <xf numFmtId="0" fontId="0" fillId="2" borderId="0" xfId="0" applyFill="1" applyAlignment="1">
      <alignment horizontal="center" vertical="center" wrapText="1"/>
    </xf>
    <xf numFmtId="0" fontId="15" fillId="2" borderId="0" xfId="0" applyFont="1" applyFill="1" applyAlignment="1">
      <alignment horizontal="center" vertical="center" wrapText="1"/>
    </xf>
    <xf numFmtId="0" fontId="2" fillId="2" borderId="2" xfId="0" applyFont="1" applyFill="1" applyBorder="1" applyAlignment="1">
      <alignment horizontal="center" vertical="center" wrapText="1"/>
    </xf>
    <xf numFmtId="0" fontId="5" fillId="2" borderId="0" xfId="0" applyFont="1" applyFill="1" applyAlignment="1">
      <alignment horizontal="center" vertical="center" wrapText="1"/>
    </xf>
    <xf numFmtId="0" fontId="6" fillId="2" borderId="0" xfId="0" applyFont="1" applyFill="1" applyAlignment="1">
      <alignment horizontal="left" vertical="center" wrapText="1" indent="1"/>
    </xf>
    <xf numFmtId="0" fontId="0" fillId="3" borderId="11" xfId="0" applyFill="1" applyBorder="1" applyAlignment="1">
      <alignment horizontal="center" vertical="center"/>
    </xf>
    <xf numFmtId="166" fontId="0" fillId="0" borderId="3" xfId="0" applyNumberFormat="1" applyBorder="1" applyAlignment="1">
      <alignment horizontal="center" vertical="center"/>
    </xf>
    <xf numFmtId="0" fontId="0" fillId="3" borderId="7" xfId="0" applyFill="1" applyBorder="1" applyAlignment="1">
      <alignment horizontal="center" vertical="center"/>
    </xf>
    <xf numFmtId="1" fontId="0" fillId="3" borderId="11" xfId="0" applyNumberFormat="1" applyFill="1" applyBorder="1" applyAlignment="1">
      <alignment horizontal="center" vertical="center"/>
    </xf>
    <xf numFmtId="0" fontId="6" fillId="5" borderId="3" xfId="0" applyFont="1" applyFill="1" applyBorder="1" applyAlignment="1">
      <alignment horizontal="center" vertical="center" wrapText="1"/>
    </xf>
    <xf numFmtId="0" fontId="6" fillId="5" borderId="4" xfId="0" applyFont="1" applyFill="1" applyBorder="1" applyAlignment="1">
      <alignment horizontal="center" vertical="center" wrapText="1"/>
    </xf>
    <xf numFmtId="1" fontId="0" fillId="3" borderId="7" xfId="0" applyNumberFormat="1" applyFill="1" applyBorder="1" applyAlignment="1">
      <alignment horizontal="center" vertical="center"/>
    </xf>
    <xf numFmtId="1" fontId="6" fillId="0" borderId="4" xfId="0" applyNumberFormat="1" applyFont="1" applyBorder="1" applyAlignment="1">
      <alignment horizontal="center" vertical="center" wrapText="1"/>
    </xf>
    <xf numFmtId="165" fontId="6" fillId="0" borderId="4" xfId="0" applyNumberFormat="1" applyFont="1" applyBorder="1" applyAlignment="1">
      <alignment horizontal="center" vertical="center" wrapText="1"/>
    </xf>
    <xf numFmtId="1" fontId="0" fillId="0" borderId="4" xfId="0" applyNumberFormat="1" applyBorder="1" applyAlignment="1">
      <alignment horizontal="center" vertical="center" wrapText="1"/>
    </xf>
    <xf numFmtId="0" fontId="0" fillId="0" borderId="10" xfId="0" applyBorder="1" applyAlignment="1">
      <alignment horizontal="left" vertical="center" wrapText="1" indent="1"/>
    </xf>
    <xf numFmtId="1" fontId="0" fillId="0" borderId="13" xfId="0" applyNumberFormat="1" applyBorder="1" applyAlignment="1">
      <alignment horizontal="center" vertical="center" wrapText="1"/>
    </xf>
    <xf numFmtId="0" fontId="6" fillId="3" borderId="4" xfId="0" applyFont="1" applyFill="1" applyBorder="1" applyAlignment="1">
      <alignment horizontal="center" vertical="center" wrapText="1"/>
    </xf>
    <xf numFmtId="1" fontId="20" fillId="0" borderId="3" xfId="2" applyNumberFormat="1" applyFont="1" applyBorder="1" applyAlignment="1">
      <alignment horizontal="center" vertical="center" wrapText="1"/>
    </xf>
    <xf numFmtId="2" fontId="0" fillId="6" borderId="10" xfId="0" applyNumberFormat="1" applyFill="1" applyBorder="1" applyAlignment="1">
      <alignment horizontal="center" vertical="center" wrapText="1"/>
    </xf>
    <xf numFmtId="0" fontId="0" fillId="0" borderId="7" xfId="0" applyBorder="1" applyAlignment="1">
      <alignment horizontal="left" vertical="center" wrapText="1" indent="1"/>
    </xf>
    <xf numFmtId="1" fontId="0" fillId="0" borderId="15" xfId="0" applyNumberFormat="1" applyBorder="1" applyAlignment="1">
      <alignment horizontal="center" vertical="center" wrapText="1"/>
    </xf>
    <xf numFmtId="167" fontId="0" fillId="0" borderId="0" xfId="0" applyNumberFormat="1" applyAlignment="1">
      <alignment horizontal="center" vertical="center"/>
    </xf>
    <xf numFmtId="165" fontId="20" fillId="0" borderId="3" xfId="2" applyNumberFormat="1" applyFont="1" applyBorder="1" applyAlignment="1">
      <alignment horizontal="center" vertical="center" wrapText="1"/>
    </xf>
    <xf numFmtId="165" fontId="6" fillId="0" borderId="6" xfId="0" applyNumberFormat="1" applyFont="1" applyBorder="1" applyAlignment="1">
      <alignment horizontal="center" vertical="center" wrapText="1"/>
    </xf>
    <xf numFmtId="0" fontId="6"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14" fillId="0" borderId="0" xfId="0" applyFont="1" applyAlignment="1">
      <alignment horizontal="center" vertical="center"/>
    </xf>
    <xf numFmtId="0" fontId="0" fillId="0" borderId="0" xfId="0" applyAlignment="1">
      <alignment vertical="center" wrapText="1"/>
    </xf>
    <xf numFmtId="165" fontId="0" fillId="0" borderId="0" xfId="0" applyNumberFormat="1" applyAlignment="1">
      <alignment horizontal="center" vertical="center"/>
    </xf>
    <xf numFmtId="1" fontId="7" fillId="0" borderId="3" xfId="0" applyNumberFormat="1" applyFont="1" applyBorder="1" applyAlignment="1">
      <alignment horizontal="center" vertical="center" wrapText="1"/>
    </xf>
    <xf numFmtId="0" fontId="0" fillId="0" borderId="11" xfId="0" applyBorder="1" applyAlignment="1">
      <alignment horizontal="center" vertical="center"/>
    </xf>
    <xf numFmtId="0" fontId="6" fillId="2" borderId="3" xfId="0" applyFont="1" applyFill="1" applyBorder="1" applyAlignment="1">
      <alignment horizontal="left" vertical="center" wrapText="1" indent="1"/>
    </xf>
    <xf numFmtId="0" fontId="6" fillId="2" borderId="0" xfId="0" applyFont="1" applyFill="1" applyAlignment="1">
      <alignment horizontal="center" vertical="center"/>
    </xf>
    <xf numFmtId="0" fontId="6" fillId="2" borderId="3" xfId="0" applyFont="1" applyFill="1" applyBorder="1" applyAlignment="1">
      <alignment horizontal="center" vertical="center" wrapText="1"/>
    </xf>
    <xf numFmtId="0" fontId="0" fillId="2" borderId="3" xfId="0" applyFill="1" applyBorder="1" applyAlignment="1">
      <alignment vertical="center"/>
    </xf>
    <xf numFmtId="0" fontId="0" fillId="2" borderId="3" xfId="0" applyFill="1" applyBorder="1" applyAlignment="1">
      <alignment horizontal="left" vertical="center"/>
    </xf>
    <xf numFmtId="0" fontId="24" fillId="0" borderId="3" xfId="0" applyFont="1" applyBorder="1" applyAlignment="1">
      <alignment horizontal="center" vertical="center"/>
    </xf>
    <xf numFmtId="0" fontId="25" fillId="0" borderId="3" xfId="0" applyFont="1" applyBorder="1" applyAlignment="1">
      <alignment horizontal="center" vertical="center"/>
    </xf>
    <xf numFmtId="0" fontId="26" fillId="0" borderId="3" xfId="0" applyFont="1" applyBorder="1" applyAlignment="1">
      <alignment horizontal="center" vertical="center"/>
    </xf>
    <xf numFmtId="0" fontId="6" fillId="2" borderId="11" xfId="0" applyFont="1" applyFill="1" applyBorder="1" applyAlignment="1">
      <alignment horizontal="center" vertical="center" wrapText="1"/>
    </xf>
    <xf numFmtId="0" fontId="6" fillId="2" borderId="11" xfId="0" applyFont="1" applyFill="1" applyBorder="1" applyAlignment="1">
      <alignment horizontal="left" vertical="center" wrapText="1" indent="1"/>
    </xf>
    <xf numFmtId="0" fontId="0" fillId="2" borderId="11" xfId="0" applyFill="1" applyBorder="1" applyAlignment="1">
      <alignment vertical="center"/>
    </xf>
    <xf numFmtId="0" fontId="0" fillId="0" borderId="4" xfId="0" applyBorder="1" applyAlignment="1">
      <alignment horizontal="left" vertical="center" indent="1"/>
    </xf>
    <xf numFmtId="0" fontId="0" fillId="0" borderId="13" xfId="0" applyBorder="1" applyAlignment="1">
      <alignment horizontal="left" vertical="center" indent="1"/>
    </xf>
    <xf numFmtId="0" fontId="11" fillId="2" borderId="3" xfId="0" applyFont="1" applyFill="1" applyBorder="1" applyAlignment="1">
      <alignment vertical="center" wrapText="1"/>
    </xf>
    <xf numFmtId="0" fontId="0" fillId="2" borderId="3" xfId="0" applyFill="1" applyBorder="1" applyAlignment="1" applyProtection="1">
      <alignment horizontal="center" vertical="center" wrapText="1"/>
      <protection locked="0"/>
    </xf>
    <xf numFmtId="0" fontId="0" fillId="0" borderId="4" xfId="0" applyBorder="1" applyAlignment="1">
      <alignment horizontal="center" vertical="center"/>
    </xf>
    <xf numFmtId="0" fontId="0" fillId="0" borderId="6" xfId="0" applyBorder="1" applyAlignment="1">
      <alignment horizontal="center" vertical="center"/>
    </xf>
    <xf numFmtId="0" fontId="0" fillId="0" borderId="3" xfId="0" applyBorder="1" applyAlignment="1">
      <alignment horizontal="center" vertical="center" wrapText="1"/>
    </xf>
    <xf numFmtId="0" fontId="0" fillId="4" borderId="4" xfId="0" applyFill="1" applyBorder="1" applyAlignment="1">
      <alignment horizontal="center" vertical="center"/>
    </xf>
    <xf numFmtId="0" fontId="0" fillId="4" borderId="6" xfId="0" applyFill="1" applyBorder="1" applyAlignment="1">
      <alignment horizontal="center" vertical="center"/>
    </xf>
    <xf numFmtId="0" fontId="0" fillId="0" borderId="7" xfId="0" applyBorder="1" applyAlignment="1">
      <alignment horizontal="center" vertical="center"/>
    </xf>
    <xf numFmtId="0" fontId="21" fillId="2" borderId="0" xfId="0" applyFont="1" applyFill="1" applyAlignment="1">
      <alignment horizontal="right" vertical="center" wrapText="1" indent="1"/>
    </xf>
    <xf numFmtId="0" fontId="6" fillId="0" borderId="0" xfId="0" applyFont="1" applyAlignment="1">
      <alignment vertical="center" wrapText="1"/>
    </xf>
    <xf numFmtId="0" fontId="6" fillId="0" borderId="3" xfId="0" applyFont="1" applyBorder="1" applyAlignment="1">
      <alignment horizontal="center" vertical="center" wrapText="1"/>
    </xf>
    <xf numFmtId="0" fontId="0" fillId="3" borderId="3" xfId="0" applyFill="1" applyBorder="1" applyAlignment="1">
      <alignment vertical="center"/>
    </xf>
    <xf numFmtId="0" fontId="17" fillId="0" borderId="3" xfId="0" applyFont="1" applyBorder="1" applyAlignment="1">
      <alignment horizontal="center" vertical="center" wrapText="1"/>
    </xf>
    <xf numFmtId="0" fontId="35" fillId="0" borderId="3" xfId="0" applyFont="1" applyBorder="1" applyAlignment="1">
      <alignment horizontal="center" vertical="center"/>
    </xf>
    <xf numFmtId="0" fontId="0" fillId="0" borderId="3" xfId="0" applyBorder="1" applyAlignment="1">
      <alignment vertical="center"/>
    </xf>
    <xf numFmtId="0" fontId="0" fillId="0" borderId="0" xfId="0" applyAlignment="1">
      <alignment wrapText="1"/>
    </xf>
    <xf numFmtId="2" fontId="0" fillId="0" borderId="3" xfId="0" applyNumberFormat="1" applyBorder="1" applyAlignment="1">
      <alignment horizontal="center" vertical="center" wrapText="1"/>
    </xf>
    <xf numFmtId="0" fontId="17" fillId="0" borderId="3" xfId="2" applyFont="1" applyBorder="1" applyAlignment="1">
      <alignment horizontal="center" vertical="center" wrapText="1"/>
    </xf>
    <xf numFmtId="0" fontId="33" fillId="0" borderId="3" xfId="0" applyFont="1" applyBorder="1" applyAlignment="1">
      <alignment horizontal="center" vertical="center"/>
    </xf>
    <xf numFmtId="0" fontId="22" fillId="0" borderId="3" xfId="0" applyFont="1" applyBorder="1" applyAlignment="1">
      <alignment horizontal="center" vertical="center"/>
    </xf>
    <xf numFmtId="0" fontId="38" fillId="0" borderId="3" xfId="2" applyFont="1" applyBorder="1" applyAlignment="1">
      <alignment horizontal="center" vertical="center" wrapText="1"/>
    </xf>
    <xf numFmtId="0" fontId="0" fillId="0" borderId="3" xfId="0" applyBorder="1" applyAlignment="1">
      <alignment vertical="center" wrapText="1"/>
    </xf>
    <xf numFmtId="0" fontId="0" fillId="0" borderId="3" xfId="2" applyFont="1" applyBorder="1" applyAlignment="1">
      <alignment vertical="center" wrapText="1"/>
    </xf>
    <xf numFmtId="0" fontId="34" fillId="0" borderId="3" xfId="0" applyFont="1" applyBorder="1" applyAlignment="1">
      <alignment horizontal="center" vertical="center"/>
    </xf>
    <xf numFmtId="0" fontId="36" fillId="0" borderId="3" xfId="0" applyFont="1" applyBorder="1" applyAlignment="1">
      <alignment horizontal="center" vertical="center"/>
    </xf>
    <xf numFmtId="0" fontId="37" fillId="0" borderId="3" xfId="0" applyFont="1" applyBorder="1" applyAlignment="1">
      <alignment horizontal="center" vertical="center"/>
    </xf>
    <xf numFmtId="0" fontId="22" fillId="7" borderId="3" xfId="0" applyFont="1" applyFill="1" applyBorder="1" applyAlignment="1">
      <alignment horizontal="center" vertical="center"/>
    </xf>
    <xf numFmtId="0" fontId="6" fillId="7" borderId="3" xfId="0" applyFont="1" applyFill="1" applyBorder="1" applyAlignment="1">
      <alignment horizontal="center" vertical="center" wrapText="1"/>
    </xf>
    <xf numFmtId="0" fontId="38" fillId="7" borderId="3" xfId="2" applyFont="1" applyFill="1" applyBorder="1" applyAlignment="1">
      <alignment horizontal="center" vertical="center" wrapText="1"/>
    </xf>
    <xf numFmtId="0" fontId="0" fillId="7" borderId="3" xfId="0" applyFill="1" applyBorder="1" applyAlignment="1">
      <alignment vertical="center" wrapText="1"/>
    </xf>
    <xf numFmtId="0" fontId="0" fillId="7" borderId="3" xfId="2" applyFont="1" applyFill="1" applyBorder="1" applyAlignment="1">
      <alignment vertical="center" wrapText="1"/>
    </xf>
    <xf numFmtId="0" fontId="38" fillId="0" borderId="0" xfId="2" applyFont="1" applyAlignment="1">
      <alignment horizontal="center" vertical="center" wrapText="1"/>
    </xf>
    <xf numFmtId="0" fontId="6" fillId="0" borderId="0" xfId="0" applyFont="1" applyAlignment="1">
      <alignment horizontal="center" vertical="center" wrapText="1"/>
    </xf>
    <xf numFmtId="0" fontId="0" fillId="0" borderId="0" xfId="2" applyFont="1" applyAlignment="1">
      <alignment vertical="center" wrapText="1"/>
    </xf>
    <xf numFmtId="0" fontId="0" fillId="2" borderId="11" xfId="0" applyFill="1" applyBorder="1" applyAlignment="1" applyProtection="1">
      <alignment horizontal="center" vertical="center" wrapText="1"/>
      <protection locked="0"/>
    </xf>
    <xf numFmtId="0" fontId="0" fillId="2" borderId="0" xfId="0" applyFill="1" applyAlignment="1">
      <alignment horizontal="left" vertical="center" wrapText="1" indent="1"/>
    </xf>
    <xf numFmtId="0" fontId="6" fillId="4" borderId="4" xfId="0" applyFont="1" applyFill="1" applyBorder="1" applyAlignment="1">
      <alignment horizontal="center" vertical="center"/>
    </xf>
    <xf numFmtId="0" fontId="6" fillId="4" borderId="5" xfId="0" applyFont="1" applyFill="1" applyBorder="1" applyAlignment="1">
      <alignment vertical="center"/>
    </xf>
    <xf numFmtId="0" fontId="6" fillId="4" borderId="6" xfId="0" applyFont="1" applyFill="1" applyBorder="1" applyAlignment="1">
      <alignment vertical="center"/>
    </xf>
    <xf numFmtId="0" fontId="0" fillId="6" borderId="10" xfId="0" applyFill="1" applyBorder="1" applyAlignment="1">
      <alignment horizontal="center" vertical="center" wrapText="1"/>
    </xf>
    <xf numFmtId="0" fontId="2" fillId="3" borderId="3" xfId="0" applyFont="1" applyFill="1" applyBorder="1" applyAlignment="1">
      <alignment vertical="center"/>
    </xf>
    <xf numFmtId="165" fontId="0" fillId="2" borderId="0" xfId="0" applyNumberFormat="1" applyFill="1" applyAlignment="1">
      <alignment horizontal="center" vertical="center" wrapText="1"/>
    </xf>
    <xf numFmtId="0" fontId="0" fillId="0" borderId="3" xfId="0" applyBorder="1" applyAlignment="1">
      <alignment horizontal="left" vertical="center"/>
    </xf>
    <xf numFmtId="0" fontId="28" fillId="0" borderId="3" xfId="0" applyFont="1" applyBorder="1" applyAlignment="1">
      <alignment horizontal="center" vertical="center" wrapText="1"/>
    </xf>
    <xf numFmtId="0" fontId="0" fillId="3" borderId="3" xfId="0" applyFill="1" applyBorder="1" applyAlignment="1">
      <alignment horizontal="center" vertical="center"/>
    </xf>
    <xf numFmtId="165" fontId="0" fillId="6" borderId="3" xfId="0" applyNumberFormat="1" applyFill="1" applyBorder="1" applyAlignment="1">
      <alignment horizontal="center" vertical="center"/>
    </xf>
    <xf numFmtId="165" fontId="0" fillId="6" borderId="11" xfId="0" applyNumberFormat="1" applyFill="1" applyBorder="1" applyAlignment="1">
      <alignment horizontal="center" vertical="center"/>
    </xf>
    <xf numFmtId="0" fontId="6" fillId="6" borderId="11" xfId="0" applyFont="1" applyFill="1" applyBorder="1" applyAlignment="1">
      <alignment horizontal="center" vertical="center" wrapText="1"/>
    </xf>
    <xf numFmtId="165" fontId="0" fillId="6" borderId="7" xfId="0" applyNumberFormat="1" applyFill="1" applyBorder="1" applyAlignment="1">
      <alignment horizontal="center" vertical="center"/>
    </xf>
    <xf numFmtId="0" fontId="6" fillId="6" borderId="7" xfId="0" applyFont="1" applyFill="1" applyBorder="1" applyAlignment="1">
      <alignment horizontal="center" vertical="center" wrapText="1"/>
    </xf>
    <xf numFmtId="0" fontId="0" fillId="3" borderId="6" xfId="0" applyFill="1" applyBorder="1" applyAlignment="1">
      <alignment horizontal="center" vertical="center"/>
    </xf>
    <xf numFmtId="0" fontId="9" fillId="2" borderId="0" xfId="0" applyFont="1" applyFill="1" applyAlignment="1">
      <alignment horizontal="center" vertical="center"/>
    </xf>
    <xf numFmtId="165" fontId="0" fillId="0" borderId="3" xfId="0" applyNumberFormat="1" applyBorder="1" applyAlignment="1">
      <alignment horizontal="center" vertical="center"/>
    </xf>
    <xf numFmtId="165" fontId="0" fillId="2" borderId="0" xfId="0" applyNumberFormat="1" applyFill="1" applyAlignment="1">
      <alignment horizontal="center" vertical="center"/>
    </xf>
    <xf numFmtId="0" fontId="10" fillId="0" borderId="3" xfId="0" applyFont="1" applyBorder="1" applyAlignment="1">
      <alignment horizontal="left" vertical="center" wrapText="1"/>
    </xf>
    <xf numFmtId="0" fontId="6" fillId="6" borderId="3" xfId="0" applyFont="1" applyFill="1" applyBorder="1" applyAlignment="1">
      <alignment horizontal="center" vertical="center"/>
    </xf>
    <xf numFmtId="166" fontId="0" fillId="6" borderId="3" xfId="0" applyNumberFormat="1" applyFill="1" applyBorder="1" applyAlignment="1">
      <alignment horizontal="center" vertical="center"/>
    </xf>
    <xf numFmtId="1" fontId="0" fillId="6" borderId="3" xfId="0" applyNumberFormat="1" applyFill="1" applyBorder="1" applyAlignment="1">
      <alignment horizontal="center" vertical="center" wrapText="1"/>
    </xf>
    <xf numFmtId="2" fontId="0" fillId="6" borderId="3" xfId="0" applyNumberFormat="1" applyFill="1" applyBorder="1" applyAlignment="1">
      <alignment horizontal="center" vertical="center"/>
    </xf>
    <xf numFmtId="0" fontId="11" fillId="2" borderId="0" xfId="0" applyFont="1" applyFill="1" applyAlignment="1">
      <alignment horizontal="right" vertical="center" wrapText="1"/>
    </xf>
    <xf numFmtId="0" fontId="6" fillId="4" borderId="5" xfId="0" applyFont="1" applyFill="1" applyBorder="1" applyAlignment="1">
      <alignment horizontal="center" vertical="center"/>
    </xf>
    <xf numFmtId="0" fontId="6" fillId="4" borderId="6" xfId="0" applyFont="1" applyFill="1" applyBorder="1" applyAlignment="1">
      <alignment horizontal="center" vertical="center"/>
    </xf>
    <xf numFmtId="0" fontId="6" fillId="4" borderId="3" xfId="0" applyFont="1" applyFill="1" applyBorder="1" applyAlignment="1">
      <alignment horizontal="center" vertical="center"/>
    </xf>
    <xf numFmtId="0" fontId="9" fillId="3" borderId="3" xfId="0" applyFont="1" applyFill="1" applyBorder="1" applyAlignment="1">
      <alignment horizontal="center" vertical="center"/>
    </xf>
    <xf numFmtId="0" fontId="12" fillId="0" borderId="3" xfId="0" applyFont="1" applyBorder="1" applyAlignment="1">
      <alignment horizontal="center" vertical="center"/>
    </xf>
    <xf numFmtId="0" fontId="13" fillId="0" borderId="3" xfId="0" applyFont="1" applyBorder="1" applyAlignment="1">
      <alignment horizontal="center" vertical="center"/>
    </xf>
    <xf numFmtId="0" fontId="0" fillId="2" borderId="3" xfId="0" applyFill="1" applyBorder="1" applyAlignment="1">
      <alignment horizontal="center" vertical="center"/>
    </xf>
    <xf numFmtId="0" fontId="14" fillId="0" borderId="3" xfId="0" applyFont="1" applyBorder="1" applyAlignment="1">
      <alignment horizontal="center" vertical="center"/>
    </xf>
    <xf numFmtId="0" fontId="0" fillId="0" borderId="11" xfId="0" applyBorder="1" applyAlignment="1">
      <alignment horizontal="left" vertical="center" wrapText="1"/>
    </xf>
    <xf numFmtId="0" fontId="6" fillId="3" borderId="7" xfId="0" applyFont="1" applyFill="1" applyBorder="1" applyAlignment="1">
      <alignment horizontal="center" vertical="center"/>
    </xf>
    <xf numFmtId="0" fontId="6" fillId="3" borderId="12" xfId="0" applyFont="1" applyFill="1" applyBorder="1" applyAlignment="1">
      <alignment horizontal="center" vertical="center"/>
    </xf>
    <xf numFmtId="0" fontId="0" fillId="2" borderId="4" xfId="0" applyFill="1" applyBorder="1" applyAlignment="1">
      <alignment horizontal="center" vertical="center"/>
    </xf>
    <xf numFmtId="0" fontId="10" fillId="0" borderId="4" xfId="0" applyFont="1" applyBorder="1" applyAlignment="1">
      <alignment horizontal="center" vertical="center" wrapText="1"/>
    </xf>
    <xf numFmtId="0" fontId="6" fillId="3" borderId="11" xfId="0" applyFont="1" applyFill="1" applyBorder="1" applyAlignment="1">
      <alignment horizontal="center" vertical="center" wrapText="1"/>
    </xf>
    <xf numFmtId="0" fontId="2" fillId="2" borderId="5" xfId="0" applyFont="1" applyFill="1" applyBorder="1" applyAlignment="1">
      <alignment horizontal="center" vertical="center" wrapText="1"/>
    </xf>
    <xf numFmtId="14" fontId="7" fillId="2" borderId="0" xfId="0" applyNumberFormat="1" applyFont="1" applyFill="1" applyAlignment="1">
      <alignment horizontal="center" vertical="center" wrapText="1"/>
    </xf>
    <xf numFmtId="0" fontId="2" fillId="4" borderId="11" xfId="0" applyFont="1" applyFill="1" applyBorder="1" applyAlignment="1">
      <alignment horizontal="center" vertical="center"/>
    </xf>
    <xf numFmtId="0" fontId="2" fillId="4" borderId="3" xfId="2" applyFont="1" applyFill="1" applyBorder="1" applyAlignment="1">
      <alignment horizontal="center" vertical="center" wrapText="1"/>
    </xf>
    <xf numFmtId="0" fontId="2" fillId="6" borderId="6" xfId="2" applyFont="1" applyFill="1" applyBorder="1" applyAlignment="1">
      <alignment horizontal="center" vertical="center" wrapText="1"/>
    </xf>
    <xf numFmtId="0" fontId="32" fillId="0" borderId="3" xfId="2" applyFont="1" applyBorder="1" applyAlignment="1">
      <alignment horizontal="center" vertical="center" wrapText="1"/>
    </xf>
    <xf numFmtId="0" fontId="29" fillId="0" borderId="3" xfId="0" applyFont="1" applyBorder="1" applyAlignment="1">
      <alignment horizontal="center" vertical="center"/>
    </xf>
    <xf numFmtId="0" fontId="27" fillId="0" borderId="4" xfId="0" applyFont="1" applyBorder="1" applyAlignment="1">
      <alignment horizontal="center" vertical="center" wrapText="1"/>
    </xf>
    <xf numFmtId="0" fontId="2" fillId="6" borderId="6" xfId="2" applyFont="1" applyFill="1" applyBorder="1" applyAlignment="1">
      <alignment horizontal="center" vertical="center"/>
    </xf>
    <xf numFmtId="0" fontId="10" fillId="0" borderId="3" xfId="0" applyFont="1" applyBorder="1" applyAlignment="1">
      <alignment horizontal="center" vertical="center" wrapText="1"/>
    </xf>
    <xf numFmtId="0" fontId="2" fillId="6" borderId="3" xfId="2" applyFont="1" applyFill="1" applyBorder="1" applyAlignment="1">
      <alignment horizontal="center" vertical="center" wrapText="1"/>
    </xf>
    <xf numFmtId="0" fontId="2" fillId="6" borderId="3" xfId="2" applyFont="1" applyFill="1" applyBorder="1" applyAlignment="1">
      <alignment horizontal="center" vertical="center"/>
    </xf>
    <xf numFmtId="0" fontId="9" fillId="8" borderId="3" xfId="0" applyFont="1" applyFill="1" applyBorder="1" applyAlignment="1">
      <alignment horizontal="center" vertical="center"/>
    </xf>
    <xf numFmtId="49" fontId="2" fillId="6" borderId="3" xfId="2" applyNumberFormat="1" applyFont="1" applyFill="1" applyBorder="1" applyAlignment="1">
      <alignment horizontal="center" vertical="center" wrapText="1"/>
    </xf>
    <xf numFmtId="49" fontId="2" fillId="6" borderId="3" xfId="2" applyNumberFormat="1" applyFont="1" applyFill="1" applyBorder="1" applyAlignment="1">
      <alignment horizontal="center" vertical="center"/>
    </xf>
    <xf numFmtId="0" fontId="2" fillId="3" borderId="5" xfId="0" applyFont="1" applyFill="1" applyBorder="1" applyAlignment="1">
      <alignment vertical="center"/>
    </xf>
    <xf numFmtId="0" fontId="2" fillId="3" borderId="6" xfId="0" applyFont="1" applyFill="1" applyBorder="1" applyAlignment="1">
      <alignment vertical="center"/>
    </xf>
    <xf numFmtId="167" fontId="0" fillId="2" borderId="0" xfId="0" applyNumberFormat="1" applyFill="1" applyAlignment="1">
      <alignment horizontal="center" vertical="center"/>
    </xf>
    <xf numFmtId="0" fontId="0" fillId="0" borderId="7" xfId="0" applyBorder="1" applyAlignment="1">
      <alignment horizontal="left" vertical="center" wrapText="1"/>
    </xf>
    <xf numFmtId="165" fontId="0" fillId="0" borderId="6" xfId="0" applyNumberFormat="1" applyBorder="1" applyAlignment="1">
      <alignment horizontal="center" vertical="center"/>
    </xf>
    <xf numFmtId="2" fontId="0" fillId="6" borderId="3" xfId="0" applyNumberFormat="1" applyFill="1" applyBorder="1" applyAlignment="1">
      <alignment horizontal="center" vertical="center" wrapText="1"/>
    </xf>
    <xf numFmtId="0" fontId="6" fillId="2" borderId="3" xfId="0" applyFont="1" applyFill="1" applyBorder="1" applyAlignment="1">
      <alignment horizontal="center" vertical="center"/>
    </xf>
    <xf numFmtId="165" fontId="0" fillId="2" borderId="3" xfId="0" applyNumberFormat="1" applyFill="1" applyBorder="1" applyAlignment="1">
      <alignment horizontal="center" vertical="center"/>
    </xf>
    <xf numFmtId="0" fontId="42" fillId="2" borderId="0" xfId="0" applyFont="1" applyFill="1" applyAlignment="1">
      <alignment vertical="center"/>
    </xf>
    <xf numFmtId="0" fontId="42" fillId="0" borderId="0" xfId="0" applyFont="1" applyAlignment="1">
      <alignment vertical="center"/>
    </xf>
    <xf numFmtId="0" fontId="42" fillId="0" borderId="0" xfId="0" applyFont="1"/>
    <xf numFmtId="0" fontId="40" fillId="2" borderId="0" xfId="0" applyFont="1" applyFill="1" applyAlignment="1">
      <alignment horizontal="center" vertical="center"/>
    </xf>
    <xf numFmtId="0" fontId="42" fillId="2" borderId="15" xfId="0" applyFont="1" applyFill="1" applyBorder="1" applyAlignment="1">
      <alignment vertical="center"/>
    </xf>
    <xf numFmtId="0" fontId="42" fillId="2" borderId="16" xfId="0" applyFont="1" applyFill="1" applyBorder="1" applyAlignment="1">
      <alignment vertical="center"/>
    </xf>
    <xf numFmtId="0" fontId="56" fillId="2" borderId="0" xfId="0" quotePrefix="1" applyFont="1" applyFill="1" applyAlignment="1">
      <alignment horizontal="center" vertical="center"/>
    </xf>
    <xf numFmtId="0" fontId="42" fillId="2" borderId="57" xfId="0" applyFont="1" applyFill="1" applyBorder="1" applyAlignment="1">
      <alignment horizontal="center" vertical="center"/>
    </xf>
    <xf numFmtId="0" fontId="42" fillId="2" borderId="59" xfId="0" applyFont="1" applyFill="1" applyBorder="1" applyAlignment="1">
      <alignment horizontal="center" vertical="center"/>
    </xf>
    <xf numFmtId="0" fontId="42" fillId="2" borderId="58" xfId="0" applyFont="1" applyFill="1" applyBorder="1" applyAlignment="1">
      <alignment horizontal="center" vertical="center"/>
    </xf>
    <xf numFmtId="0" fontId="54" fillId="2" borderId="0" xfId="0" applyFont="1" applyFill="1" applyAlignment="1">
      <alignment vertical="center"/>
    </xf>
    <xf numFmtId="0" fontId="43" fillId="2" borderId="8" xfId="0" applyFont="1" applyFill="1" applyBorder="1" applyAlignment="1">
      <alignment horizontal="left" vertical="center"/>
    </xf>
    <xf numFmtId="0" fontId="43" fillId="2" borderId="2" xfId="0" applyFont="1" applyFill="1" applyBorder="1" applyAlignment="1">
      <alignment horizontal="left" vertical="center"/>
    </xf>
    <xf numFmtId="0" fontId="43" fillId="2" borderId="9" xfId="0" applyFont="1" applyFill="1" applyBorder="1" applyAlignment="1">
      <alignment horizontal="left" vertical="center"/>
    </xf>
    <xf numFmtId="0" fontId="42" fillId="0" borderId="15" xfId="0" applyFont="1" applyBorder="1" applyAlignment="1">
      <alignment horizontal="center" vertical="center"/>
    </xf>
    <xf numFmtId="0" fontId="42" fillId="0" borderId="0" xfId="0" applyFont="1" applyAlignment="1">
      <alignment horizontal="center" vertical="center"/>
    </xf>
    <xf numFmtId="0" fontId="42" fillId="0" borderId="16" xfId="0" applyFont="1" applyBorder="1" applyAlignment="1">
      <alignment horizontal="center" vertical="center"/>
    </xf>
    <xf numFmtId="0" fontId="45" fillId="9" borderId="15" xfId="0" applyFont="1" applyFill="1" applyBorder="1" applyAlignment="1">
      <alignment vertical="center"/>
    </xf>
    <xf numFmtId="0" fontId="45" fillId="9" borderId="0" xfId="0" applyFont="1" applyFill="1" applyAlignment="1">
      <alignment vertical="center"/>
    </xf>
    <xf numFmtId="0" fontId="45" fillId="9" borderId="16" xfId="0" applyFont="1" applyFill="1" applyBorder="1" applyAlignment="1">
      <alignment vertical="center"/>
    </xf>
    <xf numFmtId="0" fontId="45" fillId="0" borderId="0" xfId="0" applyFont="1" applyAlignment="1">
      <alignment vertical="center"/>
    </xf>
    <xf numFmtId="0" fontId="51" fillId="9" borderId="15" xfId="0" applyFont="1" applyFill="1" applyBorder="1" applyAlignment="1">
      <alignment vertical="center"/>
    </xf>
    <xf numFmtId="0" fontId="51" fillId="9" borderId="0" xfId="0" applyFont="1" applyFill="1" applyAlignment="1">
      <alignment vertical="center"/>
    </xf>
    <xf numFmtId="0" fontId="51" fillId="9" borderId="16" xfId="0" applyFont="1" applyFill="1" applyBorder="1" applyAlignment="1">
      <alignment vertical="center"/>
    </xf>
    <xf numFmtId="0" fontId="51" fillId="0" borderId="0" xfId="0" applyFont="1" applyAlignment="1">
      <alignment vertical="center"/>
    </xf>
    <xf numFmtId="0" fontId="54" fillId="9" borderId="0" xfId="0" applyFont="1" applyFill="1" applyAlignment="1">
      <alignment horizontal="center" vertical="center"/>
    </xf>
    <xf numFmtId="0" fontId="41" fillId="9" borderId="0" xfId="0" applyFont="1" applyFill="1" applyAlignment="1">
      <alignment vertical="center"/>
    </xf>
    <xf numFmtId="0" fontId="57" fillId="9" borderId="0" xfId="0" quotePrefix="1" applyFont="1" applyFill="1" applyAlignment="1">
      <alignment horizontal="center" vertical="center"/>
    </xf>
    <xf numFmtId="0" fontId="40" fillId="2" borderId="57" xfId="0" applyFont="1" applyFill="1" applyBorder="1" applyAlignment="1">
      <alignment horizontal="center" vertical="center"/>
    </xf>
    <xf numFmtId="0" fontId="40" fillId="2" borderId="58" xfId="0" applyFont="1" applyFill="1" applyBorder="1" applyAlignment="1">
      <alignment horizontal="center" vertical="center"/>
    </xf>
    <xf numFmtId="0" fontId="40" fillId="2" borderId="59" xfId="0" applyFont="1" applyFill="1" applyBorder="1" applyAlignment="1">
      <alignment horizontal="center" vertical="center"/>
    </xf>
    <xf numFmtId="0" fontId="40" fillId="2" borderId="3" xfId="0" applyFont="1" applyFill="1" applyBorder="1" applyAlignment="1">
      <alignment horizontal="center" vertical="center"/>
    </xf>
    <xf numFmtId="0" fontId="54" fillId="9" borderId="16" xfId="0" applyFont="1" applyFill="1" applyBorder="1" applyAlignment="1">
      <alignment horizontal="center" vertical="center"/>
    </xf>
    <xf numFmtId="0" fontId="41" fillId="0" borderId="0" xfId="0" applyFont="1" applyAlignment="1">
      <alignment vertical="center"/>
    </xf>
    <xf numFmtId="0" fontId="42" fillId="9" borderId="15" xfId="0" applyFont="1" applyFill="1" applyBorder="1" applyAlignment="1">
      <alignment vertical="center"/>
    </xf>
    <xf numFmtId="0" fontId="42" fillId="9" borderId="0" xfId="0" applyFont="1" applyFill="1" applyAlignment="1">
      <alignment vertical="center"/>
    </xf>
    <xf numFmtId="0" fontId="42" fillId="9" borderId="16" xfId="0" applyFont="1" applyFill="1" applyBorder="1" applyAlignment="1">
      <alignment vertical="center"/>
    </xf>
    <xf numFmtId="0" fontId="51" fillId="9" borderId="15" xfId="0" applyFont="1" applyFill="1" applyBorder="1"/>
    <xf numFmtId="0" fontId="51" fillId="9" borderId="0" xfId="0" applyFont="1" applyFill="1"/>
    <xf numFmtId="0" fontId="51" fillId="9" borderId="16" xfId="0" applyFont="1" applyFill="1" applyBorder="1"/>
    <xf numFmtId="0" fontId="51" fillId="0" borderId="0" xfId="0" applyFont="1"/>
    <xf numFmtId="0" fontId="57" fillId="9" borderId="15" xfId="0" quotePrefix="1" applyFont="1" applyFill="1" applyBorder="1" applyAlignment="1">
      <alignment horizontal="center" vertical="center"/>
    </xf>
    <xf numFmtId="0" fontId="53" fillId="9" borderId="0" xfId="0" applyFont="1" applyFill="1" applyAlignment="1">
      <alignment horizontal="center" vertical="center"/>
    </xf>
    <xf numFmtId="0" fontId="42" fillId="9" borderId="0" xfId="0" quotePrefix="1" applyFont="1" applyFill="1" applyAlignment="1">
      <alignment horizontal="center" vertical="center"/>
    </xf>
    <xf numFmtId="0" fontId="50" fillId="9" borderId="0" xfId="0" quotePrefix="1" applyFont="1" applyFill="1" applyAlignment="1">
      <alignment horizontal="center" vertical="center"/>
    </xf>
    <xf numFmtId="0" fontId="54" fillId="2" borderId="5" xfId="0" applyFont="1" applyFill="1" applyBorder="1" applyAlignment="1">
      <alignment horizontal="center" vertical="center"/>
    </xf>
    <xf numFmtId="0" fontId="57" fillId="9" borderId="2" xfId="0" quotePrefix="1" applyFont="1" applyFill="1" applyBorder="1" applyAlignment="1">
      <alignment horizontal="center" vertical="center"/>
    </xf>
    <xf numFmtId="0" fontId="42" fillId="9" borderId="2" xfId="0" applyFont="1" applyFill="1" applyBorder="1" applyAlignment="1">
      <alignment vertical="center"/>
    </xf>
    <xf numFmtId="0" fontId="42" fillId="10" borderId="0" xfId="0" applyFont="1" applyFill="1" applyAlignment="1">
      <alignment vertical="center"/>
    </xf>
    <xf numFmtId="0" fontId="51" fillId="9" borderId="0" xfId="0" applyFont="1" applyFill="1" applyAlignment="1">
      <alignment horizontal="left" vertical="center"/>
    </xf>
    <xf numFmtId="0" fontId="49" fillId="9" borderId="0" xfId="0" applyFont="1" applyFill="1" applyAlignment="1">
      <alignment horizontal="center" vertical="center"/>
    </xf>
    <xf numFmtId="0" fontId="45" fillId="9" borderId="15" xfId="0" applyFont="1" applyFill="1" applyBorder="1"/>
    <xf numFmtId="0" fontId="45" fillId="9" borderId="0" xfId="0" applyFont="1" applyFill="1"/>
    <xf numFmtId="0" fontId="45" fillId="9" borderId="16" xfId="0" applyFont="1" applyFill="1" applyBorder="1"/>
    <xf numFmtId="0" fontId="45" fillId="0" borderId="0" xfId="0" applyFont="1"/>
    <xf numFmtId="0" fontId="41" fillId="9" borderId="15" xfId="0" quotePrefix="1" applyFont="1" applyFill="1" applyBorder="1" applyAlignment="1">
      <alignment horizontal="center" vertical="center"/>
    </xf>
    <xf numFmtId="0" fontId="45" fillId="2" borderId="4" xfId="0" applyFont="1" applyFill="1" applyBorder="1" applyAlignment="1">
      <alignment horizontal="center" vertical="center"/>
    </xf>
    <xf numFmtId="0" fontId="45" fillId="9" borderId="0" xfId="0" applyFont="1" applyFill="1" applyAlignment="1">
      <alignment horizontal="center" vertical="center"/>
    </xf>
    <xf numFmtId="0" fontId="51" fillId="9" borderId="0" xfId="0" applyFont="1" applyFill="1" applyAlignment="1">
      <alignment horizontal="center" vertical="center"/>
    </xf>
    <xf numFmtId="0" fontId="51" fillId="9" borderId="2" xfId="0" applyFont="1" applyFill="1" applyBorder="1" applyAlignment="1">
      <alignment vertical="center"/>
    </xf>
    <xf numFmtId="0" fontId="57" fillId="9" borderId="15" xfId="0" quotePrefix="1" applyFont="1" applyFill="1" applyBorder="1" applyAlignment="1">
      <alignment horizontal="right" vertical="center"/>
    </xf>
    <xf numFmtId="0" fontId="42" fillId="9" borderId="0" xfId="0" applyFont="1" applyFill="1" applyAlignment="1">
      <alignment horizontal="center" vertical="center"/>
    </xf>
    <xf numFmtId="0" fontId="52" fillId="9" borderId="0" xfId="0" applyFont="1" applyFill="1" applyAlignment="1">
      <alignment horizontal="center" vertical="center"/>
    </xf>
    <xf numFmtId="0" fontId="59" fillId="2" borderId="60" xfId="0" applyFont="1" applyFill="1" applyBorder="1" applyAlignment="1">
      <alignment horizontal="center" vertical="center"/>
    </xf>
    <xf numFmtId="0" fontId="41" fillId="9" borderId="0" xfId="0" applyFont="1" applyFill="1" applyAlignment="1">
      <alignment horizontal="center" vertical="center"/>
    </xf>
    <xf numFmtId="0" fontId="59" fillId="2" borderId="3" xfId="0" applyFont="1" applyFill="1" applyBorder="1" applyAlignment="1">
      <alignment horizontal="center" vertical="center"/>
    </xf>
    <xf numFmtId="0" fontId="41" fillId="9" borderId="16" xfId="0" applyFont="1" applyFill="1" applyBorder="1" applyAlignment="1">
      <alignment vertical="center"/>
    </xf>
    <xf numFmtId="0" fontId="46" fillId="9" borderId="15" xfId="0" applyFont="1" applyFill="1" applyBorder="1" applyAlignment="1">
      <alignment vertical="center"/>
    </xf>
    <xf numFmtId="0" fontId="46" fillId="9" borderId="0" xfId="0" applyFont="1" applyFill="1" applyAlignment="1">
      <alignment vertical="center"/>
    </xf>
    <xf numFmtId="0" fontId="46" fillId="9" borderId="0" xfId="0" applyFont="1" applyFill="1" applyAlignment="1">
      <alignment horizontal="center" vertical="center"/>
    </xf>
    <xf numFmtId="0" fontId="46" fillId="9" borderId="16" xfId="0" applyFont="1" applyFill="1" applyBorder="1" applyAlignment="1">
      <alignment vertical="center"/>
    </xf>
    <xf numFmtId="0" fontId="46" fillId="0" borderId="0" xfId="0" applyFont="1" applyAlignment="1">
      <alignment vertical="center"/>
    </xf>
    <xf numFmtId="0" fontId="50" fillId="9" borderId="15" xfId="0" quotePrefix="1" applyFont="1" applyFill="1" applyBorder="1" applyAlignment="1">
      <alignment horizontal="center" vertical="center"/>
    </xf>
    <xf numFmtId="0" fontId="42" fillId="2" borderId="60" xfId="0" applyFont="1" applyFill="1" applyBorder="1" applyAlignment="1">
      <alignment horizontal="center" vertical="center"/>
    </xf>
    <xf numFmtId="0" fontId="42" fillId="2" borderId="0" xfId="0" applyFont="1" applyFill="1" applyAlignment="1">
      <alignment horizontal="center" vertical="center"/>
    </xf>
    <xf numFmtId="0" fontId="59" fillId="2" borderId="0" xfId="0" applyFont="1" applyFill="1" applyAlignment="1">
      <alignment horizontal="center" vertical="center"/>
    </xf>
    <xf numFmtId="0" fontId="40" fillId="2" borderId="0" xfId="0" applyFont="1" applyFill="1" applyAlignment="1">
      <alignment horizontal="left" vertical="center"/>
    </xf>
    <xf numFmtId="0" fontId="40" fillId="2" borderId="16" xfId="0" applyFont="1" applyFill="1" applyBorder="1" applyAlignment="1">
      <alignment horizontal="left" vertical="center"/>
    </xf>
    <xf numFmtId="0" fontId="52" fillId="9" borderId="0" xfId="0" applyFont="1" applyFill="1" applyAlignment="1">
      <alignment vertical="center"/>
    </xf>
    <xf numFmtId="0" fontId="40" fillId="9" borderId="0" xfId="0" applyFont="1" applyFill="1" applyAlignment="1">
      <alignment horizontal="center" vertical="center"/>
    </xf>
    <xf numFmtId="0" fontId="45" fillId="9" borderId="15" xfId="0" applyFont="1" applyFill="1" applyBorder="1" applyAlignment="1">
      <alignment vertical="top"/>
    </xf>
    <xf numFmtId="0" fontId="45" fillId="9" borderId="0" xfId="0" applyFont="1" applyFill="1" applyAlignment="1">
      <alignment vertical="top"/>
    </xf>
    <xf numFmtId="0" fontId="45" fillId="0" borderId="0" xfId="0" applyFont="1" applyAlignment="1">
      <alignment vertical="top"/>
    </xf>
    <xf numFmtId="0" fontId="60" fillId="2" borderId="0" xfId="0" applyFont="1" applyFill="1" applyAlignment="1">
      <alignment vertical="center"/>
    </xf>
    <xf numFmtId="0" fontId="48" fillId="2" borderId="0" xfId="0" applyFont="1" applyFill="1" applyAlignment="1">
      <alignment vertical="center"/>
    </xf>
    <xf numFmtId="0" fontId="40" fillId="2" borderId="57" xfId="0" applyFont="1" applyFill="1" applyBorder="1" applyAlignment="1" applyProtection="1">
      <alignment horizontal="center" vertical="center"/>
      <protection locked="0"/>
    </xf>
    <xf numFmtId="0" fontId="40" fillId="2" borderId="58" xfId="0" applyFont="1" applyFill="1" applyBorder="1" applyAlignment="1" applyProtection="1">
      <alignment horizontal="center" vertical="center"/>
      <protection locked="0"/>
    </xf>
    <xf numFmtId="0" fontId="40" fillId="2" borderId="59" xfId="0" applyFont="1" applyFill="1" applyBorder="1" applyAlignment="1" applyProtection="1">
      <alignment horizontal="center" vertical="center"/>
      <protection locked="0"/>
    </xf>
    <xf numFmtId="0" fontId="43" fillId="2" borderId="0" xfId="0" applyFont="1" applyFill="1" applyAlignment="1">
      <alignment vertical="top" wrapText="1"/>
    </xf>
    <xf numFmtId="0" fontId="43" fillId="2" borderId="15" xfId="0" applyFont="1" applyFill="1" applyBorder="1" applyAlignment="1">
      <alignment vertical="top" wrapText="1"/>
    </xf>
    <xf numFmtId="0" fontId="61" fillId="2" borderId="0" xfId="0" applyFont="1" applyFill="1" applyAlignment="1">
      <alignment vertical="center"/>
    </xf>
    <xf numFmtId="0" fontId="0" fillId="2" borderId="20" xfId="0" applyFill="1" applyBorder="1" applyAlignment="1">
      <alignment horizontal="left" vertical="center" wrapText="1" indent="1"/>
    </xf>
    <xf numFmtId="0" fontId="0" fillId="2" borderId="22" xfId="0" applyFill="1" applyBorder="1" applyAlignment="1">
      <alignment horizontal="left" vertical="center" wrapText="1" indent="1"/>
    </xf>
    <xf numFmtId="0" fontId="0" fillId="0" borderId="22" xfId="0" applyBorder="1" applyAlignment="1">
      <alignment horizontal="left" vertical="center" wrapText="1" indent="1"/>
    </xf>
    <xf numFmtId="0" fontId="0" fillId="0" borderId="25" xfId="0" applyBorder="1" applyAlignment="1">
      <alignment horizontal="left" vertical="center" wrapText="1" indent="1"/>
    </xf>
    <xf numFmtId="0" fontId="0" fillId="2" borderId="11" xfId="0" applyFill="1" applyBorder="1" applyAlignment="1">
      <alignment horizontal="center" vertical="center"/>
    </xf>
    <xf numFmtId="165" fontId="62" fillId="2" borderId="3" xfId="0" applyNumberFormat="1" applyFont="1" applyFill="1" applyBorder="1" applyAlignment="1">
      <alignment horizontal="center" vertical="center"/>
    </xf>
    <xf numFmtId="0" fontId="0" fillId="11" borderId="3" xfId="0" applyFill="1" applyBorder="1" applyAlignment="1">
      <alignment horizontal="center" vertical="center"/>
    </xf>
    <xf numFmtId="0" fontId="0" fillId="12" borderId="3" xfId="0" applyFill="1" applyBorder="1" applyAlignment="1">
      <alignment horizontal="center" vertical="center"/>
    </xf>
    <xf numFmtId="0" fontId="0" fillId="7" borderId="3" xfId="0" applyFill="1" applyBorder="1" applyAlignment="1">
      <alignment horizontal="center" vertical="center"/>
    </xf>
    <xf numFmtId="0" fontId="0" fillId="13" borderId="3" xfId="0" applyFill="1" applyBorder="1" applyAlignment="1">
      <alignment horizontal="center" vertical="center"/>
    </xf>
    <xf numFmtId="0" fontId="63" fillId="3" borderId="3" xfId="0" applyFont="1" applyFill="1" applyBorder="1" applyAlignment="1">
      <alignment horizontal="center" vertical="center"/>
    </xf>
    <xf numFmtId="0" fontId="63" fillId="3" borderId="3"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63" fillId="3" borderId="12" xfId="0" applyFont="1" applyFill="1" applyBorder="1" applyAlignment="1">
      <alignment horizontal="center" vertical="center"/>
    </xf>
    <xf numFmtId="165" fontId="6" fillId="3" borderId="3" xfId="0" applyNumberFormat="1" applyFont="1" applyFill="1" applyBorder="1" applyAlignment="1">
      <alignment horizontal="center" vertical="center" wrapText="1"/>
    </xf>
    <xf numFmtId="0" fontId="4" fillId="2" borderId="12" xfId="2" applyFont="1" applyFill="1" applyBorder="1" applyAlignment="1">
      <alignment horizontal="center" vertical="center" textRotation="90" wrapText="1"/>
    </xf>
    <xf numFmtId="0" fontId="4" fillId="2" borderId="7" xfId="2" applyFont="1" applyFill="1" applyBorder="1" applyAlignment="1">
      <alignment horizontal="center" vertical="center" textRotation="90" wrapText="1"/>
    </xf>
    <xf numFmtId="0" fontId="6" fillId="0" borderId="3" xfId="2" applyFont="1" applyBorder="1" applyAlignment="1">
      <alignment horizontal="center" vertical="center" wrapText="1"/>
    </xf>
    <xf numFmtId="0" fontId="29" fillId="0" borderId="3" xfId="2" applyFont="1" applyBorder="1" applyAlignment="1">
      <alignment horizontal="left" vertical="center" wrapText="1"/>
    </xf>
    <xf numFmtId="14" fontId="4" fillId="2" borderId="12" xfId="2" applyNumberFormat="1" applyFont="1" applyFill="1" applyBorder="1" applyAlignment="1">
      <alignment horizontal="center" vertical="center" textRotation="90" wrapText="1"/>
    </xf>
    <xf numFmtId="0" fontId="11" fillId="4" borderId="3" xfId="0" applyFont="1" applyFill="1" applyBorder="1" applyAlignment="1">
      <alignment horizontal="center" vertical="center"/>
    </xf>
    <xf numFmtId="0" fontId="31" fillId="0" borderId="11" xfId="0" applyFont="1" applyBorder="1" applyAlignment="1">
      <alignment horizontal="center" vertical="center"/>
    </xf>
    <xf numFmtId="0" fontId="31" fillId="0" borderId="12" xfId="0" applyFont="1" applyBorder="1" applyAlignment="1">
      <alignment horizontal="center" vertical="center"/>
    </xf>
    <xf numFmtId="0" fontId="0" fillId="0" borderId="13" xfId="0" applyBorder="1" applyAlignment="1">
      <alignment horizontal="center" vertical="center" wrapText="1"/>
    </xf>
    <xf numFmtId="0" fontId="0" fillId="0" borderId="1" xfId="0" applyBorder="1" applyAlignment="1">
      <alignment horizontal="center" vertical="center" wrapText="1"/>
    </xf>
    <xf numFmtId="0" fontId="0" fillId="0" borderId="14" xfId="0" applyBorder="1" applyAlignment="1">
      <alignment horizontal="center" vertical="center" wrapText="1"/>
    </xf>
    <xf numFmtId="0" fontId="0" fillId="0" borderId="8" xfId="0" applyBorder="1" applyAlignment="1">
      <alignment horizontal="center" vertical="center" wrapText="1"/>
    </xf>
    <xf numFmtId="0" fontId="0" fillId="0" borderId="2" xfId="0" applyBorder="1" applyAlignment="1">
      <alignment horizontal="center" vertical="center" wrapText="1"/>
    </xf>
    <xf numFmtId="0" fontId="0" fillId="0" borderId="9" xfId="0" applyBorder="1" applyAlignment="1">
      <alignment horizontal="center" vertical="center" wrapText="1"/>
    </xf>
    <xf numFmtId="166" fontId="0" fillId="6" borderId="11" xfId="0" applyNumberFormat="1" applyFill="1" applyBorder="1" applyAlignment="1">
      <alignment horizontal="center" vertical="center"/>
    </xf>
    <xf numFmtId="166" fontId="0" fillId="6" borderId="12" xfId="0" applyNumberFormat="1" applyFill="1" applyBorder="1" applyAlignment="1">
      <alignment horizontal="center" vertical="center"/>
    </xf>
    <xf numFmtId="166" fontId="0" fillId="6" borderId="7" xfId="0" applyNumberFormat="1" applyFill="1" applyBorder="1" applyAlignment="1">
      <alignment horizontal="center" vertical="center"/>
    </xf>
    <xf numFmtId="0" fontId="11" fillId="4" borderId="7" xfId="0" applyFont="1" applyFill="1"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1" xfId="0" applyBorder="1" applyAlignment="1">
      <alignment horizontal="center" vertical="center"/>
    </xf>
    <xf numFmtId="0" fontId="0" fillId="0" borderId="17"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4" fillId="2" borderId="39" xfId="0" applyFont="1" applyFill="1" applyBorder="1" applyAlignment="1">
      <alignment horizontal="center" vertical="center"/>
    </xf>
    <xf numFmtId="0" fontId="4" fillId="2" borderId="40" xfId="0" applyFont="1" applyFill="1" applyBorder="1" applyAlignment="1">
      <alignment horizontal="center" vertical="center"/>
    </xf>
    <xf numFmtId="0" fontId="4" fillId="2" borderId="41" xfId="0" applyFont="1" applyFill="1" applyBorder="1" applyAlignment="1">
      <alignment horizontal="center" vertical="center"/>
    </xf>
    <xf numFmtId="0" fontId="4" fillId="2" borderId="33" xfId="0" applyFont="1" applyFill="1" applyBorder="1" applyAlignment="1">
      <alignment horizontal="center" vertical="center"/>
    </xf>
    <xf numFmtId="0" fontId="4" fillId="2" borderId="34" xfId="0" applyFont="1" applyFill="1" applyBorder="1" applyAlignment="1">
      <alignment horizontal="center" vertical="center"/>
    </xf>
    <xf numFmtId="0" fontId="4" fillId="2" borderId="35" xfId="0" applyFont="1" applyFill="1" applyBorder="1" applyAlignment="1">
      <alignment horizontal="center" vertical="center"/>
    </xf>
    <xf numFmtId="0" fontId="5" fillId="2" borderId="17"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11" fillId="2" borderId="5" xfId="0" applyFont="1" applyFill="1" applyBorder="1" applyAlignment="1">
      <alignment horizontal="center" vertical="center"/>
    </xf>
    <xf numFmtId="0" fontId="2" fillId="3" borderId="3" xfId="0" applyFont="1" applyFill="1" applyBorder="1" applyAlignment="1">
      <alignment horizontal="center" vertical="center" wrapText="1"/>
    </xf>
    <xf numFmtId="0" fontId="2" fillId="4" borderId="3" xfId="2" applyFont="1" applyFill="1" applyBorder="1" applyAlignment="1">
      <alignment horizontal="center" vertical="center" wrapText="1"/>
    </xf>
    <xf numFmtId="0" fontId="0" fillId="0" borderId="4"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4" xfId="0" applyBorder="1" applyAlignment="1">
      <alignment horizontal="center" vertical="center"/>
    </xf>
    <xf numFmtId="0" fontId="0" fillId="0" borderId="6" xfId="0" applyBorder="1" applyAlignment="1">
      <alignment horizontal="center" vertical="center"/>
    </xf>
    <xf numFmtId="0" fontId="6" fillId="6" borderId="3" xfId="0" applyFont="1" applyFill="1" applyBorder="1" applyAlignment="1">
      <alignment horizontal="center" vertical="center" wrapText="1"/>
    </xf>
    <xf numFmtId="0" fontId="0" fillId="6" borderId="3" xfId="0" applyFill="1" applyBorder="1" applyAlignment="1">
      <alignment horizontal="left" vertical="center" wrapText="1" indent="1"/>
    </xf>
    <xf numFmtId="0" fontId="2" fillId="3" borderId="3" xfId="0" applyFont="1" applyFill="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1" fillId="2" borderId="3" xfId="0" applyFont="1" applyFill="1" applyBorder="1" applyAlignment="1">
      <alignment horizontal="right" vertical="center" wrapText="1" inden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3"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6" fillId="3" borderId="4" xfId="0" applyFont="1" applyFill="1" applyBorder="1" applyAlignment="1">
      <alignment horizontal="center" vertical="center"/>
    </xf>
    <xf numFmtId="0" fontId="6" fillId="3" borderId="6" xfId="0" applyFont="1" applyFill="1" applyBorder="1" applyAlignment="1">
      <alignment horizontal="center" vertical="center"/>
    </xf>
    <xf numFmtId="0" fontId="18" fillId="0" borderId="3" xfId="0" applyFont="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2" fillId="5" borderId="4"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0" fillId="0" borderId="11" xfId="0" applyBorder="1" applyAlignment="1">
      <alignment horizontal="center" vertical="center"/>
    </xf>
    <xf numFmtId="0" fontId="0" fillId="0" borderId="7" xfId="0"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0" fillId="0" borderId="0" xfId="0" applyAlignment="1">
      <alignment horizontal="center" vertical="center" wrapText="1"/>
    </xf>
    <xf numFmtId="0" fontId="15" fillId="0" borderId="3" xfId="0" applyFont="1" applyBorder="1" applyAlignment="1">
      <alignment horizontal="center"/>
    </xf>
    <xf numFmtId="0" fontId="0" fillId="0" borderId="11" xfId="0" applyBorder="1" applyAlignment="1">
      <alignment horizontal="center" vertical="center" wrapText="1"/>
    </xf>
    <xf numFmtId="0" fontId="15" fillId="0" borderId="3" xfId="0" applyFont="1" applyBorder="1" applyAlignment="1">
      <alignment horizont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6" borderId="3" xfId="0" applyFont="1" applyFill="1" applyBorder="1" applyAlignment="1">
      <alignment horizontal="center" vertical="center" wrapText="1"/>
    </xf>
    <xf numFmtId="164" fontId="2" fillId="0" borderId="3" xfId="0" applyNumberFormat="1" applyFont="1" applyBorder="1" applyAlignment="1" applyProtection="1">
      <alignment horizontal="center" vertical="center" wrapText="1"/>
      <protection locked="0"/>
    </xf>
    <xf numFmtId="14" fontId="2" fillId="0" borderId="3" xfId="0" applyNumberFormat="1" applyFont="1" applyBorder="1" applyAlignment="1" applyProtection="1">
      <alignment horizontal="center" vertical="center" wrapText="1"/>
      <protection locked="0"/>
    </xf>
    <xf numFmtId="14" fontId="2" fillId="6" borderId="3" xfId="0" applyNumberFormat="1" applyFont="1" applyFill="1" applyBorder="1" applyAlignment="1">
      <alignment horizontal="center" vertical="center" wrapText="1"/>
    </xf>
    <xf numFmtId="0" fontId="2" fillId="0" borderId="3" xfId="0" applyFont="1" applyBorder="1" applyAlignment="1" applyProtection="1">
      <alignment horizontal="center" vertical="center" wrapText="1"/>
      <protection locked="0"/>
    </xf>
    <xf numFmtId="0" fontId="2" fillId="3" borderId="13" xfId="0" applyFont="1" applyFill="1" applyBorder="1" applyAlignment="1">
      <alignment horizontal="center" vertical="center"/>
    </xf>
    <xf numFmtId="0" fontId="2" fillId="3" borderId="14" xfId="0" applyFont="1" applyFill="1" applyBorder="1" applyAlignment="1">
      <alignment horizontal="center" vertical="center"/>
    </xf>
    <xf numFmtId="0" fontId="2" fillId="3" borderId="15" xfId="0" applyFont="1" applyFill="1" applyBorder="1" applyAlignment="1">
      <alignment horizontal="center" vertical="center"/>
    </xf>
    <xf numFmtId="0" fontId="2" fillId="3" borderId="16"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9" xfId="0" applyFont="1" applyFill="1" applyBorder="1" applyAlignment="1">
      <alignment horizontal="center" vertical="center"/>
    </xf>
    <xf numFmtId="14" fontId="1" fillId="0" borderId="13" xfId="0" applyNumberFormat="1" applyFont="1" applyBorder="1" applyAlignment="1">
      <alignment horizontal="center" vertical="center" wrapText="1"/>
    </xf>
    <xf numFmtId="14" fontId="1" fillId="0" borderId="14" xfId="0" applyNumberFormat="1" applyFont="1" applyBorder="1" applyAlignment="1">
      <alignment horizontal="center" vertical="center" wrapText="1"/>
    </xf>
    <xf numFmtId="14" fontId="1" fillId="0" borderId="8" xfId="0" applyNumberFormat="1" applyFont="1" applyBorder="1" applyAlignment="1">
      <alignment horizontal="center" vertical="center" wrapText="1"/>
    </xf>
    <xf numFmtId="14" fontId="1" fillId="0" borderId="9" xfId="0" applyNumberFormat="1" applyFont="1" applyBorder="1" applyAlignment="1">
      <alignment horizontal="center" vertical="center" wrapText="1"/>
    </xf>
    <xf numFmtId="14" fontId="1" fillId="0" borderId="3" xfId="0" applyNumberFormat="1" applyFont="1" applyBorder="1" applyAlignment="1">
      <alignment horizontal="center" vertical="center" wrapText="1"/>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0" fillId="2" borderId="4" xfId="0" applyFill="1" applyBorder="1" applyAlignment="1">
      <alignment horizontal="center" vertical="center"/>
    </xf>
    <xf numFmtId="0" fontId="0" fillId="2" borderId="6" xfId="0" applyFill="1" applyBorder="1" applyAlignment="1">
      <alignment horizontal="center" vertical="center"/>
    </xf>
    <xf numFmtId="0" fontId="6" fillId="6" borderId="4"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6" borderId="6" xfId="0" applyFont="1" applyFill="1" applyBorder="1" applyAlignment="1">
      <alignment horizontal="center" vertical="center" wrapText="1"/>
    </xf>
    <xf numFmtId="0" fontId="0" fillId="3" borderId="3" xfId="0" applyFill="1" applyBorder="1" applyAlignment="1">
      <alignment horizontal="center" vertical="center"/>
    </xf>
    <xf numFmtId="0" fontId="31" fillId="0" borderId="7" xfId="0" applyFont="1" applyBorder="1" applyAlignment="1">
      <alignment horizontal="center" vertical="center"/>
    </xf>
    <xf numFmtId="0" fontId="0" fillId="0" borderId="3" xfId="0" applyBorder="1" applyAlignment="1">
      <alignment horizontal="center" vertical="center"/>
    </xf>
    <xf numFmtId="0" fontId="30" fillId="0" borderId="13" xfId="3" applyBorder="1" applyAlignment="1" applyProtection="1">
      <alignment horizontal="center" vertical="center"/>
    </xf>
    <xf numFmtId="0" fontId="30" fillId="0" borderId="14" xfId="3" applyBorder="1" applyAlignment="1" applyProtection="1">
      <alignment horizontal="center" vertical="center"/>
    </xf>
    <xf numFmtId="0" fontId="30" fillId="0" borderId="15" xfId="3" applyBorder="1" applyAlignment="1" applyProtection="1">
      <alignment horizontal="center" vertical="center"/>
    </xf>
    <xf numFmtId="0" fontId="30" fillId="0" borderId="16" xfId="3" applyBorder="1" applyAlignment="1" applyProtection="1">
      <alignment horizontal="center" vertical="center"/>
    </xf>
    <xf numFmtId="0" fontId="30" fillId="0" borderId="8" xfId="3" applyBorder="1" applyAlignment="1" applyProtection="1">
      <alignment horizontal="center" vertical="center"/>
    </xf>
    <xf numFmtId="0" fontId="30" fillId="0" borderId="9" xfId="3" applyBorder="1" applyAlignment="1" applyProtection="1">
      <alignment horizontal="center" vertical="center"/>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0" fillId="2" borderId="13" xfId="0" applyFill="1" applyBorder="1" applyAlignment="1">
      <alignment horizontal="center" vertical="center" wrapText="1"/>
    </xf>
    <xf numFmtId="0" fontId="0" fillId="2" borderId="1" xfId="0" applyFill="1" applyBorder="1" applyAlignment="1">
      <alignment horizontal="center" vertical="center"/>
    </xf>
    <xf numFmtId="0" fontId="0" fillId="2" borderId="14" xfId="0" applyFill="1" applyBorder="1" applyAlignment="1">
      <alignment horizontal="center" vertical="center"/>
    </xf>
    <xf numFmtId="0" fontId="0" fillId="2" borderId="15" xfId="0" applyFill="1" applyBorder="1" applyAlignment="1">
      <alignment horizontal="center" vertical="center"/>
    </xf>
    <xf numFmtId="0" fontId="0" fillId="2" borderId="0" xfId="0" applyFill="1" applyAlignment="1">
      <alignment horizontal="center" vertical="center"/>
    </xf>
    <xf numFmtId="0" fontId="0" fillId="2" borderId="16" xfId="0" applyFill="1" applyBorder="1" applyAlignment="1">
      <alignment horizontal="center" vertical="center"/>
    </xf>
    <xf numFmtId="0" fontId="0" fillId="2" borderId="8" xfId="0" applyFill="1" applyBorder="1" applyAlignment="1">
      <alignment horizontal="center" vertical="center"/>
    </xf>
    <xf numFmtId="0" fontId="0" fillId="2" borderId="2" xfId="0" applyFill="1" applyBorder="1" applyAlignment="1">
      <alignment horizontal="center" vertical="center"/>
    </xf>
    <xf numFmtId="0" fontId="0" fillId="2" borderId="9" xfId="0" applyFill="1" applyBorder="1" applyAlignment="1">
      <alignment horizontal="center" vertical="center"/>
    </xf>
    <xf numFmtId="0" fontId="5" fillId="2" borderId="13"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0" xfId="0" applyFont="1" applyFill="1" applyAlignment="1">
      <alignment horizontal="center" vertical="center"/>
    </xf>
    <xf numFmtId="0" fontId="5" fillId="2" borderId="16"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9" xfId="0" applyFont="1" applyFill="1" applyBorder="1" applyAlignment="1">
      <alignment horizontal="center" vertical="center"/>
    </xf>
    <xf numFmtId="0" fontId="6" fillId="3" borderId="5" xfId="0" applyFont="1" applyFill="1" applyBorder="1" applyAlignment="1">
      <alignment horizontal="center" vertical="center"/>
    </xf>
    <xf numFmtId="0" fontId="9" fillId="8" borderId="4" xfId="0" applyFont="1" applyFill="1" applyBorder="1" applyAlignment="1">
      <alignment horizontal="center" vertical="center"/>
    </xf>
    <xf numFmtId="0" fontId="9" fillId="8" borderId="5" xfId="0" applyFont="1" applyFill="1" applyBorder="1" applyAlignment="1">
      <alignment horizontal="center" vertical="center"/>
    </xf>
    <xf numFmtId="0" fontId="9" fillId="8" borderId="56" xfId="0" applyFont="1" applyFill="1" applyBorder="1" applyAlignment="1">
      <alignment horizontal="center" vertical="center"/>
    </xf>
    <xf numFmtId="0" fontId="6" fillId="4" borderId="4" xfId="0" applyFont="1" applyFill="1" applyBorder="1" applyAlignment="1">
      <alignment horizontal="center" vertical="center"/>
    </xf>
    <xf numFmtId="0" fontId="6" fillId="4" borderId="5" xfId="0" applyFont="1" applyFill="1" applyBorder="1" applyAlignment="1">
      <alignment horizontal="center" vertical="center"/>
    </xf>
    <xf numFmtId="0" fontId="6" fillId="4" borderId="6" xfId="0" applyFont="1" applyFill="1" applyBorder="1" applyAlignment="1">
      <alignment horizontal="center" vertical="center"/>
    </xf>
    <xf numFmtId="0" fontId="11" fillId="2" borderId="2" xfId="0" applyFont="1" applyFill="1" applyBorder="1" applyAlignment="1">
      <alignment horizontal="center" vertical="center"/>
    </xf>
    <xf numFmtId="0" fontId="2" fillId="0" borderId="11" xfId="0" applyFont="1" applyBorder="1" applyAlignment="1">
      <alignment horizontal="center" vertical="center" wrapText="1"/>
    </xf>
    <xf numFmtId="0" fontId="15" fillId="0" borderId="1" xfId="0" applyFont="1" applyBorder="1" applyAlignment="1">
      <alignment horizontal="center"/>
    </xf>
    <xf numFmtId="0" fontId="15" fillId="0" borderId="14" xfId="0" applyFont="1" applyBorder="1" applyAlignment="1">
      <alignment horizontal="center"/>
    </xf>
    <xf numFmtId="0" fontId="15" fillId="0" borderId="15" xfId="0" applyFont="1" applyBorder="1" applyAlignment="1">
      <alignment horizontal="center"/>
    </xf>
    <xf numFmtId="0" fontId="15" fillId="0" borderId="0" xfId="0" applyFont="1" applyAlignment="1">
      <alignment horizontal="center"/>
    </xf>
    <xf numFmtId="0" fontId="15" fillId="0" borderId="16" xfId="0" applyFont="1" applyBorder="1" applyAlignment="1">
      <alignment horizontal="center"/>
    </xf>
    <xf numFmtId="0" fontId="15" fillId="0" borderId="8" xfId="0" applyFont="1" applyBorder="1" applyAlignment="1">
      <alignment horizontal="center"/>
    </xf>
    <xf numFmtId="0" fontId="15" fillId="0" borderId="2" xfId="0" applyFont="1" applyBorder="1" applyAlignment="1">
      <alignment horizontal="center"/>
    </xf>
    <xf numFmtId="0" fontId="15" fillId="0" borderId="9" xfId="0" applyFont="1" applyBorder="1" applyAlignment="1">
      <alignment horizontal="center"/>
    </xf>
    <xf numFmtId="14" fontId="7" fillId="0" borderId="3" xfId="0" applyNumberFormat="1" applyFont="1" applyBorder="1" applyAlignment="1" applyProtection="1">
      <alignment horizontal="center" vertical="center" wrapText="1"/>
      <protection locked="0"/>
    </xf>
    <xf numFmtId="0" fontId="6" fillId="3" borderId="13" xfId="0" applyFont="1" applyFill="1" applyBorder="1" applyAlignment="1">
      <alignment horizontal="center" vertical="center" wrapText="1"/>
    </xf>
    <xf numFmtId="0" fontId="6" fillId="3" borderId="14" xfId="0" applyFont="1" applyFill="1" applyBorder="1" applyAlignment="1">
      <alignment horizontal="center" vertical="center" wrapText="1"/>
    </xf>
    <xf numFmtId="165" fontId="0" fillId="6" borderId="11" xfId="0" applyNumberFormat="1" applyFill="1" applyBorder="1" applyAlignment="1">
      <alignment horizontal="center" vertical="center"/>
    </xf>
    <xf numFmtId="165" fontId="0" fillId="6" borderId="7" xfId="0" applyNumberFormat="1" applyFill="1" applyBorder="1" applyAlignment="1">
      <alignment horizontal="center" vertical="center"/>
    </xf>
    <xf numFmtId="0" fontId="0" fillId="4" borderId="4" xfId="0" applyFill="1" applyBorder="1" applyAlignment="1">
      <alignment horizontal="center" vertical="center"/>
    </xf>
    <xf numFmtId="0" fontId="0" fillId="4" borderId="6" xfId="0" applyFill="1" applyBorder="1" applyAlignment="1">
      <alignment horizontal="center" vertical="center"/>
    </xf>
    <xf numFmtId="49" fontId="0" fillId="0" borderId="4" xfId="0" applyNumberFormat="1" applyBorder="1" applyAlignment="1">
      <alignment horizontal="center" vertical="center"/>
    </xf>
    <xf numFmtId="49" fontId="0" fillId="0" borderId="6" xfId="0" applyNumberFormat="1" applyBorder="1" applyAlignment="1">
      <alignment horizontal="center" vertical="center"/>
    </xf>
    <xf numFmtId="0" fontId="11" fillId="2" borderId="13" xfId="0" applyFont="1" applyFill="1" applyBorder="1" applyAlignment="1">
      <alignment horizontal="right" vertical="center" wrapText="1"/>
    </xf>
    <xf numFmtId="0" fontId="11" fillId="2" borderId="1" xfId="0" applyFont="1" applyFill="1" applyBorder="1" applyAlignment="1">
      <alignment horizontal="right" vertical="center" wrapText="1"/>
    </xf>
    <xf numFmtId="0" fontId="11" fillId="2" borderId="14" xfId="0" applyFont="1" applyFill="1" applyBorder="1" applyAlignment="1">
      <alignment horizontal="right" vertical="center" wrapText="1"/>
    </xf>
    <xf numFmtId="0" fontId="11" fillId="2" borderId="15" xfId="0" applyFont="1" applyFill="1" applyBorder="1" applyAlignment="1">
      <alignment horizontal="right" vertical="center" wrapText="1"/>
    </xf>
    <xf numFmtId="0" fontId="11" fillId="2" borderId="0" xfId="0" applyFont="1" applyFill="1" applyAlignment="1">
      <alignment horizontal="right" vertical="center" wrapText="1"/>
    </xf>
    <xf numFmtId="0" fontId="11" fillId="2" borderId="16" xfId="0" applyFont="1" applyFill="1" applyBorder="1" applyAlignment="1">
      <alignment horizontal="right" vertical="center" wrapText="1"/>
    </xf>
    <xf numFmtId="0" fontId="11" fillId="2" borderId="8" xfId="0" applyFont="1" applyFill="1" applyBorder="1" applyAlignment="1">
      <alignment horizontal="right" vertical="center" wrapText="1"/>
    </xf>
    <xf numFmtId="0" fontId="11" fillId="2" borderId="2" xfId="0" applyFont="1" applyFill="1" applyBorder="1" applyAlignment="1">
      <alignment horizontal="right" vertical="center" wrapText="1"/>
    </xf>
    <xf numFmtId="0" fontId="11" fillId="2" borderId="9" xfId="0" applyFont="1" applyFill="1" applyBorder="1" applyAlignment="1">
      <alignment horizontal="right" vertical="center" wrapText="1"/>
    </xf>
    <xf numFmtId="0" fontId="5" fillId="2" borderId="13"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16"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0" fillId="0" borderId="5" xfId="0" applyBorder="1" applyAlignment="1">
      <alignment horizontal="center" vertical="center"/>
    </xf>
    <xf numFmtId="165" fontId="0" fillId="6" borderId="11" xfId="0" applyNumberFormat="1" applyFill="1" applyBorder="1" applyAlignment="1">
      <alignment horizontal="center" vertical="center" wrapText="1"/>
    </xf>
    <xf numFmtId="165" fontId="0" fillId="6" borderId="12" xfId="0" applyNumberFormat="1" applyFill="1" applyBorder="1" applyAlignment="1">
      <alignment horizontal="center" vertical="center" wrapText="1"/>
    </xf>
    <xf numFmtId="165" fontId="0" fillId="6" borderId="7" xfId="0" applyNumberFormat="1" applyFill="1" applyBorder="1" applyAlignment="1">
      <alignment horizontal="center" vertical="center" wrapText="1"/>
    </xf>
    <xf numFmtId="0" fontId="0" fillId="0" borderId="1" xfId="0" applyBorder="1" applyAlignment="1">
      <alignment horizontal="center" vertical="center"/>
    </xf>
    <xf numFmtId="0" fontId="40" fillId="2" borderId="4" xfId="0" applyFont="1" applyFill="1" applyBorder="1" applyAlignment="1">
      <alignment horizontal="left" vertical="center"/>
    </xf>
    <xf numFmtId="0" fontId="40" fillId="2" borderId="5" xfId="0" applyFont="1" applyFill="1" applyBorder="1" applyAlignment="1">
      <alignment horizontal="left" vertical="center"/>
    </xf>
    <xf numFmtId="0" fontId="40" fillId="2" borderId="6" xfId="0" applyFont="1" applyFill="1" applyBorder="1" applyAlignment="1">
      <alignment horizontal="left" vertical="center"/>
    </xf>
    <xf numFmtId="0" fontId="54" fillId="9" borderId="0" xfId="0" applyFont="1" applyFill="1" applyAlignment="1">
      <alignment horizontal="left" vertical="center"/>
    </xf>
    <xf numFmtId="0" fontId="45" fillId="9" borderId="0" xfId="0" applyFont="1" applyFill="1" applyAlignment="1">
      <alignment horizontal="left" vertical="top"/>
    </xf>
    <xf numFmtId="0" fontId="45" fillId="9" borderId="16" xfId="0" applyFont="1" applyFill="1" applyBorder="1" applyAlignment="1">
      <alignment horizontal="left" vertical="top"/>
    </xf>
    <xf numFmtId="0" fontId="58" fillId="2" borderId="0" xfId="0" applyFont="1" applyFill="1" applyAlignment="1">
      <alignment horizontal="center" wrapText="1"/>
    </xf>
    <xf numFmtId="0" fontId="58" fillId="2" borderId="16" xfId="0" applyFont="1" applyFill="1" applyBorder="1" applyAlignment="1">
      <alignment horizontal="center" wrapText="1"/>
    </xf>
    <xf numFmtId="0" fontId="51" fillId="2" borderId="15" xfId="0" applyFont="1" applyFill="1" applyBorder="1" applyAlignment="1">
      <alignment horizontal="left" vertical="top" wrapText="1"/>
    </xf>
    <xf numFmtId="0" fontId="51" fillId="2" borderId="0" xfId="0" applyFont="1" applyFill="1" applyAlignment="1">
      <alignment horizontal="left" vertical="top" wrapText="1"/>
    </xf>
    <xf numFmtId="0" fontId="51" fillId="2" borderId="16" xfId="0" applyFont="1" applyFill="1" applyBorder="1" applyAlignment="1">
      <alignment horizontal="left" vertical="top" wrapText="1"/>
    </xf>
    <xf numFmtId="0" fontId="43" fillId="2" borderId="15" xfId="0" applyFont="1" applyFill="1" applyBorder="1" applyAlignment="1">
      <alignment horizontal="center" vertical="center"/>
    </xf>
    <xf numFmtId="0" fontId="43" fillId="2" borderId="0" xfId="0" applyFont="1" applyFill="1" applyAlignment="1">
      <alignment horizontal="center" vertical="center"/>
    </xf>
    <xf numFmtId="0" fontId="43" fillId="2" borderId="16" xfId="0" applyFont="1" applyFill="1" applyBorder="1" applyAlignment="1">
      <alignment horizontal="center" vertical="center"/>
    </xf>
    <xf numFmtId="0" fontId="43" fillId="2" borderId="15" xfId="0" applyFont="1" applyFill="1" applyBorder="1" applyAlignment="1">
      <alignment horizontal="left" vertical="top"/>
    </xf>
    <xf numFmtId="0" fontId="43" fillId="2" borderId="0" xfId="0" applyFont="1" applyFill="1" applyAlignment="1">
      <alignment horizontal="left" vertical="top"/>
    </xf>
    <xf numFmtId="0" fontId="43" fillId="2" borderId="3" xfId="0" applyFont="1" applyFill="1" applyBorder="1" applyAlignment="1">
      <alignment horizontal="center" vertical="center"/>
    </xf>
    <xf numFmtId="0" fontId="58" fillId="2" borderId="15" xfId="0" applyFont="1" applyFill="1" applyBorder="1" applyAlignment="1">
      <alignment horizontal="center" vertical="center" wrapText="1"/>
    </xf>
    <xf numFmtId="0" fontId="58" fillId="2" borderId="0" xfId="0" applyFont="1" applyFill="1" applyAlignment="1">
      <alignment horizontal="center" vertical="center" wrapText="1"/>
    </xf>
    <xf numFmtId="0" fontId="58" fillId="2" borderId="0" xfId="0" applyFont="1" applyFill="1" applyAlignment="1">
      <alignment horizontal="center" vertical="top" wrapText="1"/>
    </xf>
    <xf numFmtId="0" fontId="40" fillId="2" borderId="15" xfId="0" applyFont="1" applyFill="1" applyBorder="1" applyAlignment="1" applyProtection="1">
      <alignment horizontal="center" vertical="center"/>
      <protection locked="0"/>
    </xf>
    <xf numFmtId="0" fontId="40" fillId="2" borderId="0" xfId="0" applyFont="1" applyFill="1" applyAlignment="1" applyProtection="1">
      <alignment horizontal="center" vertical="center"/>
      <protection locked="0"/>
    </xf>
    <xf numFmtId="0" fontId="40" fillId="2" borderId="13" xfId="0" applyFont="1" applyFill="1" applyBorder="1" applyAlignment="1" applyProtection="1">
      <alignment horizontal="center" vertical="center"/>
      <protection locked="0"/>
    </xf>
    <xf numFmtId="0" fontId="40" fillId="2" borderId="1" xfId="0" applyFont="1" applyFill="1" applyBorder="1" applyAlignment="1" applyProtection="1">
      <alignment horizontal="center" vertical="center"/>
      <protection locked="0"/>
    </xf>
    <xf numFmtId="0" fontId="40" fillId="2" borderId="14" xfId="0" applyFont="1" applyFill="1" applyBorder="1" applyAlignment="1" applyProtection="1">
      <alignment horizontal="center" vertical="center"/>
      <protection locked="0"/>
    </xf>
    <xf numFmtId="0" fontId="40" fillId="2" borderId="0" xfId="0" applyFont="1" applyFill="1" applyAlignment="1">
      <alignment horizontal="center" vertical="center"/>
    </xf>
    <xf numFmtId="0" fontId="40" fillId="2" borderId="16" xfId="0" applyFont="1" applyFill="1" applyBorder="1" applyAlignment="1">
      <alignment horizontal="center" vertical="center"/>
    </xf>
    <xf numFmtId="0" fontId="42" fillId="2" borderId="3" xfId="0" applyFont="1" applyFill="1" applyBorder="1" applyAlignment="1">
      <alignment horizontal="center" vertical="center"/>
    </xf>
    <xf numFmtId="0" fontId="54" fillId="9" borderId="15" xfId="0" applyFont="1" applyFill="1" applyBorder="1" applyAlignment="1">
      <alignment horizontal="center" vertical="center"/>
    </xf>
    <xf numFmtId="0" fontId="54" fillId="9" borderId="0" xfId="0" applyFont="1" applyFill="1" applyAlignment="1">
      <alignment horizontal="center" vertical="center"/>
    </xf>
    <xf numFmtId="0" fontId="54" fillId="9" borderId="16" xfId="0" applyFont="1" applyFill="1" applyBorder="1" applyAlignment="1">
      <alignment horizontal="center" vertical="center"/>
    </xf>
    <xf numFmtId="0" fontId="51" fillId="9" borderId="0" xfId="0" applyFont="1" applyFill="1" applyAlignment="1">
      <alignment horizontal="left" vertical="center"/>
    </xf>
    <xf numFmtId="0" fontId="51" fillId="9" borderId="2" xfId="0" applyFont="1" applyFill="1" applyBorder="1" applyAlignment="1">
      <alignment horizontal="center" vertical="center"/>
    </xf>
    <xf numFmtId="0" fontId="46" fillId="9" borderId="0" xfId="0" applyFont="1" applyFill="1" applyAlignment="1">
      <alignment horizontal="left" vertical="center"/>
    </xf>
    <xf numFmtId="0" fontId="53" fillId="9" borderId="15" xfId="0" applyFont="1" applyFill="1" applyBorder="1" applyAlignment="1">
      <alignment horizontal="center" vertical="center"/>
    </xf>
    <xf numFmtId="0" fontId="53" fillId="9" borderId="16" xfId="0" applyFont="1" applyFill="1" applyBorder="1" applyAlignment="1">
      <alignment horizontal="center" vertical="center"/>
    </xf>
    <xf numFmtId="0" fontId="40" fillId="2" borderId="4" xfId="0" applyFont="1" applyFill="1" applyBorder="1" applyAlignment="1">
      <alignment horizontal="center" vertical="center"/>
    </xf>
    <xf numFmtId="0" fontId="40" fillId="2" borderId="5" xfId="0" applyFont="1" applyFill="1" applyBorder="1" applyAlignment="1">
      <alignment horizontal="center" vertical="center"/>
    </xf>
    <xf numFmtId="0" fontId="40" fillId="2" borderId="6" xfId="0" applyFont="1" applyFill="1" applyBorder="1" applyAlignment="1">
      <alignment horizontal="center" vertical="center"/>
    </xf>
    <xf numFmtId="0" fontId="40" fillId="2" borderId="3" xfId="0" applyFont="1" applyFill="1" applyBorder="1" applyAlignment="1">
      <alignment horizontal="left" vertical="center"/>
    </xf>
    <xf numFmtId="0" fontId="45" fillId="9" borderId="0" xfId="0" applyFont="1" applyFill="1" applyAlignment="1">
      <alignment horizontal="left" vertical="center"/>
    </xf>
    <xf numFmtId="0" fontId="40" fillId="0" borderId="3" xfId="0" applyFont="1" applyBorder="1" applyAlignment="1" applyProtection="1">
      <alignment horizontal="center" vertical="center"/>
      <protection locked="0"/>
    </xf>
    <xf numFmtId="0" fontId="40" fillId="0" borderId="11" xfId="0" applyFont="1" applyBorder="1" applyAlignment="1" applyProtection="1">
      <alignment horizontal="center" vertical="center"/>
      <protection locked="0"/>
    </xf>
    <xf numFmtId="0" fontId="40" fillId="0" borderId="4" xfId="0" applyFont="1" applyBorder="1" applyAlignment="1" applyProtection="1">
      <alignment horizontal="center" vertical="center"/>
      <protection locked="0"/>
    </xf>
    <xf numFmtId="0" fontId="54" fillId="2" borderId="6" xfId="0" applyFont="1" applyFill="1" applyBorder="1" applyAlignment="1">
      <alignment horizontal="center" vertical="center"/>
    </xf>
    <xf numFmtId="0" fontId="54" fillId="2" borderId="3" xfId="0" applyFont="1" applyFill="1" applyBorder="1" applyAlignment="1">
      <alignment horizontal="center" vertical="center"/>
    </xf>
    <xf numFmtId="0" fontId="45" fillId="9" borderId="15" xfId="0" applyFont="1" applyFill="1" applyBorder="1" applyAlignment="1">
      <alignment horizontal="center" vertical="center"/>
    </xf>
    <xf numFmtId="0" fontId="45" fillId="9" borderId="0" xfId="0" applyFont="1" applyFill="1" applyAlignment="1">
      <alignment horizontal="center" vertical="center"/>
    </xf>
    <xf numFmtId="0" fontId="45" fillId="9" borderId="16" xfId="0" applyFont="1" applyFill="1" applyBorder="1" applyAlignment="1">
      <alignment horizontal="center" vertical="center"/>
    </xf>
    <xf numFmtId="0" fontId="51" fillId="9" borderId="15" xfId="0" applyFont="1" applyFill="1" applyBorder="1" applyAlignment="1">
      <alignment horizontal="center" vertical="center"/>
    </xf>
    <xf numFmtId="0" fontId="51" fillId="9" borderId="0" xfId="0" applyFont="1" applyFill="1" applyAlignment="1">
      <alignment horizontal="center" vertical="center"/>
    </xf>
    <xf numFmtId="0" fontId="51" fillId="9" borderId="16" xfId="0" applyFont="1" applyFill="1" applyBorder="1" applyAlignment="1">
      <alignment horizontal="center" vertical="center"/>
    </xf>
    <xf numFmtId="0" fontId="40" fillId="2" borderId="3" xfId="0" applyFont="1" applyFill="1" applyBorder="1" applyAlignment="1" applyProtection="1">
      <alignment horizontal="left" vertical="center"/>
      <protection locked="0"/>
    </xf>
    <xf numFmtId="0" fontId="42" fillId="0" borderId="3" xfId="0" applyFont="1" applyBorder="1" applyAlignment="1" applyProtection="1">
      <alignment horizontal="center" vertical="center"/>
      <protection locked="0"/>
    </xf>
    <xf numFmtId="0" fontId="54" fillId="2" borderId="15" xfId="0" applyFont="1" applyFill="1" applyBorder="1" applyAlignment="1">
      <alignment horizontal="center" vertical="center"/>
    </xf>
    <xf numFmtId="0" fontId="54" fillId="2" borderId="0" xfId="0" applyFont="1" applyFill="1" applyAlignment="1">
      <alignment horizontal="center" vertical="center"/>
    </xf>
    <xf numFmtId="0" fontId="45" fillId="2" borderId="15" xfId="0" applyFont="1" applyFill="1" applyBorder="1" applyAlignment="1">
      <alignment horizontal="left" vertical="center"/>
    </xf>
    <xf numFmtId="0" fontId="45" fillId="2" borderId="0" xfId="0" applyFont="1" applyFill="1" applyAlignment="1">
      <alignment horizontal="left" vertical="center"/>
    </xf>
    <xf numFmtId="0" fontId="45" fillId="2" borderId="16" xfId="0" applyFont="1" applyFill="1" applyBorder="1" applyAlignment="1">
      <alignment horizontal="left" vertical="center"/>
    </xf>
    <xf numFmtId="0" fontId="43" fillId="2" borderId="15" xfId="0" applyFont="1" applyFill="1" applyBorder="1" applyAlignment="1">
      <alignment horizontal="left" vertical="center"/>
    </xf>
    <xf numFmtId="0" fontId="43" fillId="2" borderId="0" xfId="0" applyFont="1" applyFill="1" applyAlignment="1">
      <alignment horizontal="left" vertical="center"/>
    </xf>
    <xf numFmtId="0" fontId="43" fillId="2" borderId="16" xfId="0" applyFont="1" applyFill="1" applyBorder="1" applyAlignment="1">
      <alignment horizontal="left" vertical="center"/>
    </xf>
    <xf numFmtId="0" fontId="42" fillId="0" borderId="3" xfId="0" applyFont="1" applyBorder="1" applyAlignment="1">
      <alignment horizontal="center" vertical="center"/>
    </xf>
    <xf numFmtId="0" fontId="40" fillId="2" borderId="4" xfId="0" applyFont="1" applyFill="1" applyBorder="1" applyAlignment="1">
      <alignment horizontal="right" vertical="center"/>
    </xf>
    <xf numFmtId="0" fontId="40" fillId="2" borderId="5" xfId="0" applyFont="1" applyFill="1" applyBorder="1" applyAlignment="1">
      <alignment horizontal="right" vertical="center"/>
    </xf>
    <xf numFmtId="0" fontId="48" fillId="2" borderId="8" xfId="0" applyFont="1" applyFill="1" applyBorder="1" applyAlignment="1">
      <alignment horizontal="left" vertical="center"/>
    </xf>
    <xf numFmtId="0" fontId="48" fillId="2" borderId="2" xfId="0" applyFont="1" applyFill="1" applyBorder="1" applyAlignment="1">
      <alignment horizontal="left" vertical="center"/>
    </xf>
    <xf numFmtId="0" fontId="46" fillId="2" borderId="5" xfId="0" applyFont="1" applyFill="1" applyBorder="1" applyAlignment="1">
      <alignment horizontal="left" vertical="center"/>
    </xf>
    <xf numFmtId="0" fontId="44" fillId="2" borderId="0" xfId="0" applyFont="1" applyFill="1" applyAlignment="1">
      <alignment horizontal="center" vertical="center"/>
    </xf>
    <xf numFmtId="0" fontId="45" fillId="2" borderId="0" xfId="0" applyFont="1" applyFill="1" applyAlignment="1">
      <alignment horizontal="center"/>
    </xf>
    <xf numFmtId="0" fontId="55" fillId="2" borderId="0" xfId="0" applyFont="1" applyFill="1" applyAlignment="1">
      <alignment horizontal="center" vertical="center"/>
    </xf>
    <xf numFmtId="0" fontId="47" fillId="2" borderId="0" xfId="0" applyFont="1" applyFill="1" applyAlignment="1">
      <alignment horizontal="left" vertical="center"/>
    </xf>
    <xf numFmtId="0" fontId="47" fillId="2" borderId="16" xfId="0" applyFont="1" applyFill="1" applyBorder="1" applyAlignment="1">
      <alignment horizontal="left" vertical="center"/>
    </xf>
    <xf numFmtId="0" fontId="46" fillId="2" borderId="15" xfId="0" applyFont="1" applyFill="1" applyBorder="1" applyAlignment="1">
      <alignment horizontal="left" vertical="center"/>
    </xf>
    <xf numFmtId="0" fontId="46" fillId="2" borderId="0" xfId="0" applyFont="1" applyFill="1" applyAlignment="1">
      <alignment horizontal="left" vertical="center"/>
    </xf>
    <xf numFmtId="0" fontId="46" fillId="2" borderId="16" xfId="0" applyFont="1" applyFill="1" applyBorder="1" applyAlignment="1">
      <alignment horizontal="left" vertical="center"/>
    </xf>
    <xf numFmtId="0" fontId="45" fillId="2" borderId="3" xfId="0" applyFont="1" applyFill="1" applyBorder="1" applyAlignment="1">
      <alignment horizontal="center" vertical="center"/>
    </xf>
    <xf numFmtId="0" fontId="40" fillId="0" borderId="3" xfId="0" applyFont="1" applyBorder="1" applyAlignment="1" applyProtection="1">
      <alignment horizontal="left" vertical="center" indent="1"/>
      <protection locked="0"/>
    </xf>
    <xf numFmtId="0" fontId="40" fillId="2" borderId="3" xfId="0" applyFont="1" applyFill="1" applyBorder="1" applyAlignment="1" applyProtection="1">
      <alignment horizontal="left" vertical="center" indent="1"/>
      <protection locked="0"/>
    </xf>
    <xf numFmtId="0" fontId="0" fillId="0" borderId="4" xfId="0" applyBorder="1" applyAlignment="1">
      <alignment horizontal="left" vertical="center" indent="1"/>
    </xf>
    <xf numFmtId="0" fontId="0" fillId="0" borderId="5" xfId="0" applyBorder="1" applyAlignment="1">
      <alignment horizontal="left" vertical="center" indent="1"/>
    </xf>
    <xf numFmtId="0" fontId="0" fillId="0" borderId="6" xfId="0" applyBorder="1" applyAlignment="1">
      <alignment horizontal="left" vertical="center" indent="1"/>
    </xf>
    <xf numFmtId="0" fontId="0" fillId="2" borderId="4" xfId="0" applyFill="1" applyBorder="1" applyAlignment="1">
      <alignment horizontal="left" vertical="center" wrapText="1" indent="1"/>
    </xf>
    <xf numFmtId="0" fontId="0" fillId="2" borderId="5" xfId="0" applyFill="1" applyBorder="1" applyAlignment="1">
      <alignment horizontal="left" vertical="center" wrapText="1" indent="1"/>
    </xf>
    <xf numFmtId="0" fontId="0" fillId="2" borderId="6" xfId="0" applyFill="1" applyBorder="1" applyAlignment="1">
      <alignment horizontal="left" vertical="center" wrapText="1" indent="1"/>
    </xf>
    <xf numFmtId="0" fontId="0" fillId="0" borderId="51" xfId="0" applyBorder="1" applyAlignment="1">
      <alignment horizontal="left" vertical="center" wrapText="1" indent="1"/>
    </xf>
    <xf numFmtId="0" fontId="0" fillId="0" borderId="52" xfId="0" applyBorder="1" applyAlignment="1">
      <alignment horizontal="left" vertical="center" wrapText="1" indent="1"/>
    </xf>
    <xf numFmtId="0" fontId="0" fillId="0" borderId="53" xfId="0" applyBorder="1" applyAlignment="1">
      <alignment horizontal="left" vertical="center" wrapText="1" indent="1"/>
    </xf>
    <xf numFmtId="0" fontId="0" fillId="0" borderId="54" xfId="0" applyBorder="1" applyAlignment="1">
      <alignment horizontal="left" vertical="center" wrapText="1" indent="1"/>
    </xf>
    <xf numFmtId="0" fontId="0" fillId="2" borderId="11" xfId="0" applyFill="1" applyBorder="1" applyAlignment="1">
      <alignment horizontal="left" vertical="center" wrapText="1" indent="1"/>
    </xf>
    <xf numFmtId="0" fontId="0" fillId="2" borderId="3" xfId="0" applyFill="1" applyBorder="1" applyAlignment="1">
      <alignment horizontal="left" vertical="center" wrapText="1" indent="1"/>
    </xf>
    <xf numFmtId="0" fontId="0" fillId="0" borderId="3" xfId="0" applyBorder="1" applyAlignment="1">
      <alignment horizontal="left" vertical="center" indent="1"/>
    </xf>
    <xf numFmtId="0" fontId="0" fillId="2" borderId="3" xfId="0" applyFill="1" applyBorder="1" applyAlignment="1">
      <alignment horizontal="left" vertical="center"/>
    </xf>
    <xf numFmtId="0" fontId="0" fillId="2" borderId="53" xfId="0" applyFill="1" applyBorder="1" applyAlignment="1">
      <alignment horizontal="left" vertical="center" wrapText="1" indent="1"/>
    </xf>
    <xf numFmtId="0" fontId="0" fillId="2" borderId="54" xfId="0" applyFill="1" applyBorder="1" applyAlignment="1">
      <alignment horizontal="left" vertical="center" wrapText="1" indent="1"/>
    </xf>
    <xf numFmtId="0" fontId="0" fillId="2" borderId="39" xfId="0" applyFill="1" applyBorder="1" applyAlignment="1">
      <alignment horizontal="left" vertical="center" wrapText="1" indent="1"/>
    </xf>
    <xf numFmtId="0" fontId="0" fillId="2" borderId="55" xfId="0" applyFill="1" applyBorder="1" applyAlignment="1">
      <alignment horizontal="left" vertical="center" wrapText="1" indent="1"/>
    </xf>
    <xf numFmtId="0" fontId="6" fillId="3" borderId="3" xfId="0" applyFont="1" applyFill="1"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26"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5" fillId="2" borderId="26" xfId="0" applyFont="1" applyFill="1" applyBorder="1" applyAlignment="1">
      <alignment horizontal="center" vertical="center" wrapText="1"/>
    </xf>
    <xf numFmtId="0" fontId="5" fillId="2" borderId="31" xfId="0" applyFont="1" applyFill="1" applyBorder="1" applyAlignment="1">
      <alignment horizontal="center" vertical="center" wrapText="1"/>
    </xf>
    <xf numFmtId="0" fontId="4" fillId="2" borderId="36" xfId="0" applyFont="1" applyFill="1" applyBorder="1" applyAlignment="1">
      <alignment horizontal="center" vertical="center"/>
    </xf>
    <xf numFmtId="0" fontId="4" fillId="2" borderId="37" xfId="0" applyFont="1" applyFill="1" applyBorder="1" applyAlignment="1">
      <alignment horizontal="center" vertical="center"/>
    </xf>
    <xf numFmtId="0" fontId="4" fillId="2" borderId="38" xfId="0" applyFont="1" applyFill="1" applyBorder="1" applyAlignment="1">
      <alignment horizontal="center" vertical="center"/>
    </xf>
    <xf numFmtId="0" fontId="4" fillId="2" borderId="42" xfId="0" applyFont="1" applyFill="1" applyBorder="1" applyAlignment="1">
      <alignment horizontal="center" vertical="center"/>
    </xf>
    <xf numFmtId="0" fontId="4" fillId="2" borderId="43" xfId="0" applyFont="1" applyFill="1" applyBorder="1" applyAlignment="1">
      <alignment horizontal="center" vertical="center"/>
    </xf>
    <xf numFmtId="0" fontId="4" fillId="2" borderId="44" xfId="0" applyFont="1" applyFill="1" applyBorder="1" applyAlignment="1">
      <alignment horizontal="center" vertical="center"/>
    </xf>
    <xf numFmtId="0" fontId="0" fillId="0" borderId="32" xfId="0" applyBorder="1" applyAlignment="1">
      <alignment horizontal="center" vertical="center"/>
    </xf>
    <xf numFmtId="0" fontId="0" fillId="0" borderId="50" xfId="0" applyBorder="1" applyAlignment="1">
      <alignment horizontal="center" vertical="center"/>
    </xf>
    <xf numFmtId="0" fontId="0" fillId="0" borderId="49" xfId="0" applyBorder="1" applyAlignment="1">
      <alignment horizontal="center" vertical="center"/>
    </xf>
    <xf numFmtId="0" fontId="5" fillId="2" borderId="45" xfId="0" applyFont="1" applyFill="1" applyBorder="1" applyAlignment="1">
      <alignment horizontal="center" vertical="center" wrapText="1"/>
    </xf>
    <xf numFmtId="0" fontId="5" fillId="2" borderId="46" xfId="0" applyFont="1" applyFill="1" applyBorder="1" applyAlignment="1">
      <alignment horizontal="center" vertical="center" wrapText="1"/>
    </xf>
    <xf numFmtId="0" fontId="5" fillId="2" borderId="47" xfId="0" applyFont="1" applyFill="1" applyBorder="1" applyAlignment="1">
      <alignment horizontal="center" vertical="center" wrapText="1"/>
    </xf>
    <xf numFmtId="0" fontId="5" fillId="2" borderId="48" xfId="0" applyFont="1" applyFill="1" applyBorder="1" applyAlignment="1">
      <alignment horizontal="center" vertical="center" wrapText="1"/>
    </xf>
    <xf numFmtId="0" fontId="5" fillId="2" borderId="49" xfId="0" applyFont="1" applyFill="1" applyBorder="1" applyAlignment="1">
      <alignment horizontal="center" vertical="center" wrapText="1"/>
    </xf>
    <xf numFmtId="14" fontId="2" fillId="0" borderId="3" xfId="0" applyNumberFormat="1" applyFont="1" applyBorder="1" applyAlignment="1">
      <alignment horizontal="center" vertical="center" wrapText="1"/>
    </xf>
    <xf numFmtId="164" fontId="2" fillId="0" borderId="3" xfId="0" applyNumberFormat="1" applyFont="1" applyBorder="1" applyAlignment="1">
      <alignment horizontal="center" vertical="center" wrapText="1"/>
    </xf>
    <xf numFmtId="0" fontId="23" fillId="0" borderId="3" xfId="0" applyFont="1" applyBorder="1" applyAlignment="1">
      <alignment horizontal="left" vertical="center" wrapText="1"/>
    </xf>
    <xf numFmtId="0" fontId="11" fillId="2" borderId="13"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2" borderId="16"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21" fillId="2" borderId="13" xfId="0" applyFont="1" applyFill="1" applyBorder="1" applyAlignment="1">
      <alignment horizontal="right" vertical="center" wrapText="1" indent="1"/>
    </xf>
    <xf numFmtId="0" fontId="21" fillId="2" borderId="1" xfId="0" applyFont="1" applyFill="1" applyBorder="1" applyAlignment="1">
      <alignment horizontal="right" vertical="center" wrapText="1" indent="1"/>
    </xf>
    <xf numFmtId="0" fontId="21" fillId="2" borderId="14" xfId="0" applyFont="1" applyFill="1" applyBorder="1" applyAlignment="1">
      <alignment horizontal="right" vertical="center" wrapText="1" indent="1"/>
    </xf>
    <xf numFmtId="0" fontId="21" fillId="2" borderId="15" xfId="0" applyFont="1" applyFill="1" applyBorder="1" applyAlignment="1">
      <alignment horizontal="right" vertical="center" wrapText="1" indent="1"/>
    </xf>
    <xf numFmtId="0" fontId="21" fillId="2" borderId="0" xfId="0" applyFont="1" applyFill="1" applyAlignment="1">
      <alignment horizontal="right" vertical="center" wrapText="1" indent="1"/>
    </xf>
    <xf numFmtId="0" fontId="21" fillId="2" borderId="16" xfId="0" applyFont="1" applyFill="1" applyBorder="1" applyAlignment="1">
      <alignment horizontal="right" vertical="center" wrapText="1" indent="1"/>
    </xf>
    <xf numFmtId="0" fontId="21" fillId="2" borderId="8" xfId="0" applyFont="1" applyFill="1" applyBorder="1" applyAlignment="1">
      <alignment horizontal="right" vertical="center" wrapText="1" indent="1"/>
    </xf>
    <xf numFmtId="0" fontId="21" fillId="2" borderId="2" xfId="0" applyFont="1" applyFill="1" applyBorder="1" applyAlignment="1">
      <alignment horizontal="right" vertical="center" wrapText="1" indent="1"/>
    </xf>
    <xf numFmtId="0" fontId="21" fillId="2" borderId="9" xfId="0" applyFont="1" applyFill="1" applyBorder="1" applyAlignment="1">
      <alignment horizontal="right" vertical="center" wrapText="1" indent="1"/>
    </xf>
    <xf numFmtId="0" fontId="6" fillId="0" borderId="3" xfId="0" applyFont="1" applyBorder="1" applyAlignment="1">
      <alignment horizontal="center" vertical="center" wrapText="1"/>
    </xf>
    <xf numFmtId="0" fontId="0" fillId="2" borderId="1"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15" xfId="0" applyFill="1" applyBorder="1" applyAlignment="1">
      <alignment horizontal="center" vertical="center" wrapText="1"/>
    </xf>
    <xf numFmtId="0" fontId="0" fillId="2" borderId="0" xfId="0" applyFill="1" applyBorder="1" applyAlignment="1">
      <alignment horizontal="center" vertical="center" wrapText="1"/>
    </xf>
    <xf numFmtId="0" fontId="0" fillId="2" borderId="16" xfId="0" applyFill="1" applyBorder="1" applyAlignment="1">
      <alignment horizontal="center" vertical="center" wrapText="1"/>
    </xf>
    <xf numFmtId="0" fontId="0" fillId="2" borderId="8" xfId="0" applyFill="1" applyBorder="1" applyAlignment="1">
      <alignment horizontal="center" vertical="center" wrapText="1"/>
    </xf>
    <xf numFmtId="0" fontId="0" fillId="2" borderId="2" xfId="0" applyFill="1" applyBorder="1" applyAlignment="1">
      <alignment horizontal="center" vertical="center" wrapText="1"/>
    </xf>
    <xf numFmtId="0" fontId="0" fillId="2" borderId="9" xfId="0" applyFill="1" applyBorder="1" applyAlignment="1">
      <alignment horizontal="center" vertical="center" wrapText="1"/>
    </xf>
    <xf numFmtId="0" fontId="5" fillId="2" borderId="0" xfId="0" applyFont="1" applyFill="1" applyBorder="1" applyAlignment="1">
      <alignment horizontal="center" vertical="center" wrapText="1"/>
    </xf>
    <xf numFmtId="0" fontId="0" fillId="2" borderId="61" xfId="0" applyFill="1" applyBorder="1" applyAlignment="1">
      <alignment horizontal="center" vertical="center"/>
    </xf>
    <xf numFmtId="0" fontId="0" fillId="2" borderId="62" xfId="0" applyFill="1" applyBorder="1" applyAlignment="1">
      <alignment horizontal="center" vertical="center"/>
    </xf>
    <xf numFmtId="0" fontId="0" fillId="2" borderId="63" xfId="0" applyFill="1" applyBorder="1" applyAlignment="1">
      <alignment horizontal="center" vertical="center"/>
    </xf>
    <xf numFmtId="0" fontId="0" fillId="2" borderId="64" xfId="0" applyFill="1" applyBorder="1" applyAlignment="1">
      <alignment horizontal="center" vertical="center"/>
    </xf>
    <xf numFmtId="0" fontId="0" fillId="2" borderId="65" xfId="0" applyFill="1" applyBorder="1" applyAlignment="1">
      <alignment horizontal="center" vertical="center"/>
    </xf>
    <xf numFmtId="0" fontId="0" fillId="2" borderId="66" xfId="0" applyFill="1" applyBorder="1" applyAlignment="1">
      <alignment horizontal="center" vertical="center"/>
    </xf>
    <xf numFmtId="0" fontId="0" fillId="2" borderId="67" xfId="0" applyFill="1" applyBorder="1" applyAlignment="1">
      <alignment horizontal="center" vertical="center"/>
    </xf>
    <xf numFmtId="0" fontId="0" fillId="2" borderId="68" xfId="0" applyFill="1" applyBorder="1" applyAlignment="1">
      <alignment horizontal="center" vertical="center"/>
    </xf>
    <xf numFmtId="0" fontId="0" fillId="2" borderId="69" xfId="0" applyFill="1" applyBorder="1" applyAlignment="1">
      <alignment horizontal="center" vertical="center"/>
    </xf>
  </cellXfs>
  <cellStyles count="4">
    <cellStyle name="Hipervínculo" xfId="3" builtinId="8"/>
    <cellStyle name="Normal" xfId="0" builtinId="0"/>
    <cellStyle name="Normal 2" xfId="2" xr:uid="{EBFF7894-D42D-0242-BA55-573527417724}"/>
    <cellStyle name="Normal 6" xfId="1" xr:uid="{C971A76F-E689-2F49-B035-9E67F3CAABBA}"/>
  </cellStyles>
  <dxfs count="959">
    <dxf>
      <font>
        <color rgb="FF9C0006"/>
      </font>
      <fill>
        <patternFill>
          <bgColor rgb="FFFFC7CE"/>
        </patternFill>
      </fill>
    </dxf>
    <dxf>
      <fill>
        <patternFill>
          <bgColor rgb="FF63BE7B"/>
        </patternFill>
      </fill>
    </dxf>
    <dxf>
      <fill>
        <patternFill>
          <bgColor rgb="FF88C47B"/>
        </patternFill>
      </fill>
    </dxf>
    <dxf>
      <fill>
        <patternFill>
          <bgColor rgb="FF88C47B"/>
        </patternFill>
      </fill>
    </dxf>
    <dxf>
      <fill>
        <patternFill>
          <bgColor rgb="FFB1D480"/>
        </patternFill>
      </fill>
    </dxf>
    <dxf>
      <fill>
        <patternFill>
          <bgColor rgb="FFB1D480"/>
        </patternFill>
      </fill>
    </dxf>
    <dxf>
      <fill>
        <patternFill>
          <bgColor rgb="FFB1D480"/>
        </patternFill>
      </fill>
    </dxf>
    <dxf>
      <fill>
        <patternFill>
          <bgColor rgb="FFD8E081"/>
        </patternFill>
      </fill>
    </dxf>
    <dxf>
      <fill>
        <patternFill>
          <bgColor rgb="FFD8E081"/>
        </patternFill>
      </fill>
    </dxf>
    <dxf>
      <fill>
        <patternFill>
          <bgColor rgb="FFD8E081"/>
        </patternFill>
      </fill>
    </dxf>
    <dxf>
      <fill>
        <patternFill>
          <bgColor rgb="FFD8E081"/>
        </patternFill>
      </fill>
    </dxf>
    <dxf>
      <fill>
        <patternFill>
          <bgColor rgb="FFFFEB83"/>
        </patternFill>
      </fill>
    </dxf>
    <dxf>
      <fill>
        <patternFill>
          <bgColor rgb="FFFFEB83"/>
        </patternFill>
      </fill>
    </dxf>
    <dxf>
      <fill>
        <patternFill>
          <bgColor rgb="FFFFEB83"/>
        </patternFill>
      </fill>
    </dxf>
    <dxf>
      <fill>
        <patternFill>
          <bgColor rgb="FFFFEB83"/>
        </patternFill>
      </fill>
    </dxf>
    <dxf>
      <fill>
        <patternFill>
          <bgColor rgb="FFFFEB83"/>
        </patternFill>
      </fill>
    </dxf>
    <dxf>
      <fill>
        <patternFill>
          <bgColor rgb="FFFFCB7E"/>
        </patternFill>
      </fill>
    </dxf>
    <dxf>
      <fill>
        <patternFill>
          <bgColor rgb="FFFFCB7E"/>
        </patternFill>
      </fill>
    </dxf>
    <dxf>
      <fill>
        <patternFill>
          <bgColor rgb="FFFFCB7E"/>
        </patternFill>
      </fill>
    </dxf>
    <dxf>
      <fill>
        <patternFill>
          <bgColor rgb="FFFFCB7E"/>
        </patternFill>
      </fill>
    </dxf>
    <dxf>
      <fill>
        <patternFill>
          <bgColor rgb="FFFCAB78"/>
        </patternFill>
      </fill>
    </dxf>
    <dxf>
      <fill>
        <patternFill>
          <bgColor rgb="FFFCAB78"/>
        </patternFill>
      </fill>
    </dxf>
    <dxf>
      <fill>
        <patternFill>
          <bgColor rgb="FFFCAB78"/>
        </patternFill>
      </fill>
    </dxf>
    <dxf>
      <fill>
        <patternFill>
          <bgColor rgb="FFFA8A72"/>
        </patternFill>
      </fill>
    </dxf>
    <dxf>
      <fill>
        <patternFill>
          <bgColor rgb="FFFA8A72"/>
        </patternFill>
      </fill>
    </dxf>
    <dxf>
      <fill>
        <patternFill>
          <bgColor rgb="FFF9696A"/>
        </patternFill>
      </fill>
    </dxf>
    <dxf>
      <fill>
        <patternFill>
          <bgColor rgb="FF63BE7B"/>
        </patternFill>
      </fill>
    </dxf>
    <dxf>
      <fill>
        <patternFill>
          <bgColor rgb="FF88C47B"/>
        </patternFill>
      </fill>
    </dxf>
    <dxf>
      <fill>
        <patternFill>
          <bgColor rgb="FF88C47B"/>
        </patternFill>
      </fill>
    </dxf>
    <dxf>
      <fill>
        <patternFill>
          <bgColor rgb="FFB1D480"/>
        </patternFill>
      </fill>
    </dxf>
    <dxf>
      <fill>
        <patternFill>
          <bgColor rgb="FFB1D480"/>
        </patternFill>
      </fill>
    </dxf>
    <dxf>
      <fill>
        <patternFill>
          <bgColor rgb="FFB1D480"/>
        </patternFill>
      </fill>
    </dxf>
    <dxf>
      <fill>
        <patternFill>
          <bgColor rgb="FFD8E081"/>
        </patternFill>
      </fill>
    </dxf>
    <dxf>
      <fill>
        <patternFill>
          <bgColor rgb="FFD8E081"/>
        </patternFill>
      </fill>
    </dxf>
    <dxf>
      <fill>
        <patternFill>
          <bgColor rgb="FFD8E081"/>
        </patternFill>
      </fill>
    </dxf>
    <dxf>
      <fill>
        <patternFill>
          <bgColor rgb="FFD8E081"/>
        </patternFill>
      </fill>
    </dxf>
    <dxf>
      <fill>
        <patternFill>
          <bgColor rgb="FFFFEB83"/>
        </patternFill>
      </fill>
    </dxf>
    <dxf>
      <fill>
        <patternFill>
          <bgColor rgb="FFFFEB83"/>
        </patternFill>
      </fill>
    </dxf>
    <dxf>
      <fill>
        <patternFill>
          <bgColor rgb="FFFFEB83"/>
        </patternFill>
      </fill>
    </dxf>
    <dxf>
      <fill>
        <patternFill>
          <bgColor rgb="FFFFEB83"/>
        </patternFill>
      </fill>
    </dxf>
    <dxf>
      <fill>
        <patternFill>
          <bgColor rgb="FFFFEB83"/>
        </patternFill>
      </fill>
    </dxf>
    <dxf>
      <fill>
        <patternFill>
          <bgColor rgb="FFFFCB7E"/>
        </patternFill>
      </fill>
    </dxf>
    <dxf>
      <fill>
        <patternFill>
          <bgColor rgb="FFFFCB7E"/>
        </patternFill>
      </fill>
    </dxf>
    <dxf>
      <fill>
        <patternFill>
          <bgColor rgb="FFFFCB7E"/>
        </patternFill>
      </fill>
    </dxf>
    <dxf>
      <fill>
        <patternFill>
          <bgColor rgb="FFFFCB7E"/>
        </patternFill>
      </fill>
    </dxf>
    <dxf>
      <fill>
        <patternFill>
          <bgColor rgb="FFFCAB78"/>
        </patternFill>
      </fill>
    </dxf>
    <dxf>
      <fill>
        <patternFill>
          <bgColor rgb="FFFCAB78"/>
        </patternFill>
      </fill>
    </dxf>
    <dxf>
      <fill>
        <patternFill>
          <bgColor rgb="FFFCAB78"/>
        </patternFill>
      </fill>
    </dxf>
    <dxf>
      <fill>
        <patternFill>
          <bgColor rgb="FFFA8A72"/>
        </patternFill>
      </fill>
    </dxf>
    <dxf>
      <fill>
        <patternFill>
          <bgColor rgb="FFFA8A72"/>
        </patternFill>
      </fill>
    </dxf>
    <dxf>
      <fill>
        <patternFill>
          <bgColor rgb="FFF9696A"/>
        </patternFill>
      </fill>
    </dxf>
    <dxf>
      <fill>
        <patternFill>
          <bgColor rgb="FF63BE7B"/>
        </patternFill>
      </fill>
    </dxf>
    <dxf>
      <fill>
        <patternFill>
          <bgColor rgb="FF88C47B"/>
        </patternFill>
      </fill>
    </dxf>
    <dxf>
      <fill>
        <patternFill>
          <bgColor rgb="FF88C47B"/>
        </patternFill>
      </fill>
    </dxf>
    <dxf>
      <fill>
        <patternFill>
          <bgColor rgb="FFB1D480"/>
        </patternFill>
      </fill>
    </dxf>
    <dxf>
      <fill>
        <patternFill>
          <bgColor rgb="FFB1D480"/>
        </patternFill>
      </fill>
    </dxf>
    <dxf>
      <fill>
        <patternFill>
          <bgColor rgb="FFB1D480"/>
        </patternFill>
      </fill>
    </dxf>
    <dxf>
      <fill>
        <patternFill>
          <bgColor rgb="FFD8E081"/>
        </patternFill>
      </fill>
    </dxf>
    <dxf>
      <fill>
        <patternFill>
          <bgColor rgb="FFD8E081"/>
        </patternFill>
      </fill>
    </dxf>
    <dxf>
      <fill>
        <patternFill>
          <bgColor rgb="FFD8E081"/>
        </patternFill>
      </fill>
    </dxf>
    <dxf>
      <fill>
        <patternFill>
          <bgColor rgb="FFD8E081"/>
        </patternFill>
      </fill>
    </dxf>
    <dxf>
      <fill>
        <patternFill>
          <bgColor rgb="FFFFEB83"/>
        </patternFill>
      </fill>
    </dxf>
    <dxf>
      <fill>
        <patternFill>
          <bgColor rgb="FFFFEB83"/>
        </patternFill>
      </fill>
    </dxf>
    <dxf>
      <fill>
        <patternFill>
          <bgColor rgb="FFFFEB83"/>
        </patternFill>
      </fill>
    </dxf>
    <dxf>
      <fill>
        <patternFill>
          <bgColor rgb="FFFFEB83"/>
        </patternFill>
      </fill>
    </dxf>
    <dxf>
      <fill>
        <patternFill>
          <bgColor rgb="FFFFEB83"/>
        </patternFill>
      </fill>
    </dxf>
    <dxf>
      <fill>
        <patternFill>
          <bgColor rgb="FFFFCB7E"/>
        </patternFill>
      </fill>
    </dxf>
    <dxf>
      <fill>
        <patternFill>
          <bgColor rgb="FFFFCB7E"/>
        </patternFill>
      </fill>
    </dxf>
    <dxf>
      <fill>
        <patternFill>
          <bgColor rgb="FFFFCB7E"/>
        </patternFill>
      </fill>
    </dxf>
    <dxf>
      <fill>
        <patternFill>
          <bgColor rgb="FFFFCB7E"/>
        </patternFill>
      </fill>
    </dxf>
    <dxf>
      <fill>
        <patternFill>
          <bgColor rgb="FFFCAB78"/>
        </patternFill>
      </fill>
    </dxf>
    <dxf>
      <fill>
        <patternFill>
          <bgColor rgb="FFFCAB78"/>
        </patternFill>
      </fill>
    </dxf>
    <dxf>
      <fill>
        <patternFill>
          <bgColor rgb="FFFCAB78"/>
        </patternFill>
      </fill>
    </dxf>
    <dxf>
      <fill>
        <patternFill>
          <bgColor rgb="FFFA8A72"/>
        </patternFill>
      </fill>
    </dxf>
    <dxf>
      <fill>
        <patternFill>
          <bgColor rgb="FFFA8A72"/>
        </patternFill>
      </fill>
    </dxf>
    <dxf>
      <fill>
        <patternFill>
          <bgColor rgb="FFF9696A"/>
        </patternFill>
      </fill>
    </dxf>
    <dxf>
      <fill>
        <patternFill>
          <bgColor rgb="FF63BE7B"/>
        </patternFill>
      </fill>
    </dxf>
    <dxf>
      <fill>
        <patternFill>
          <bgColor rgb="FF88C47B"/>
        </patternFill>
      </fill>
    </dxf>
    <dxf>
      <fill>
        <patternFill>
          <bgColor rgb="FF88C47B"/>
        </patternFill>
      </fill>
    </dxf>
    <dxf>
      <fill>
        <patternFill>
          <bgColor rgb="FFB1D480"/>
        </patternFill>
      </fill>
    </dxf>
    <dxf>
      <fill>
        <patternFill>
          <bgColor rgb="FFB1D480"/>
        </patternFill>
      </fill>
    </dxf>
    <dxf>
      <fill>
        <patternFill>
          <bgColor rgb="FFB1D480"/>
        </patternFill>
      </fill>
    </dxf>
    <dxf>
      <fill>
        <patternFill>
          <bgColor rgb="FFD8E081"/>
        </patternFill>
      </fill>
    </dxf>
    <dxf>
      <fill>
        <patternFill>
          <bgColor rgb="FFD8E081"/>
        </patternFill>
      </fill>
    </dxf>
    <dxf>
      <fill>
        <patternFill>
          <bgColor rgb="FFD8E081"/>
        </patternFill>
      </fill>
    </dxf>
    <dxf>
      <fill>
        <patternFill>
          <bgColor rgb="FFD8E081"/>
        </patternFill>
      </fill>
    </dxf>
    <dxf>
      <fill>
        <patternFill>
          <bgColor rgb="FFFFEB83"/>
        </patternFill>
      </fill>
    </dxf>
    <dxf>
      <fill>
        <patternFill>
          <bgColor rgb="FFFFEB83"/>
        </patternFill>
      </fill>
    </dxf>
    <dxf>
      <fill>
        <patternFill>
          <bgColor rgb="FFFFEB83"/>
        </patternFill>
      </fill>
    </dxf>
    <dxf>
      <fill>
        <patternFill>
          <bgColor rgb="FFFFEB83"/>
        </patternFill>
      </fill>
    </dxf>
    <dxf>
      <fill>
        <patternFill>
          <bgColor rgb="FFFFEB83"/>
        </patternFill>
      </fill>
    </dxf>
    <dxf>
      <fill>
        <patternFill>
          <bgColor rgb="FFFFCB7E"/>
        </patternFill>
      </fill>
    </dxf>
    <dxf>
      <fill>
        <patternFill>
          <bgColor rgb="FFFFCB7E"/>
        </patternFill>
      </fill>
    </dxf>
    <dxf>
      <fill>
        <patternFill>
          <bgColor rgb="FFFFCB7E"/>
        </patternFill>
      </fill>
    </dxf>
    <dxf>
      <fill>
        <patternFill>
          <bgColor rgb="FFFFCB7E"/>
        </patternFill>
      </fill>
    </dxf>
    <dxf>
      <fill>
        <patternFill>
          <bgColor rgb="FFFCAB78"/>
        </patternFill>
      </fill>
    </dxf>
    <dxf>
      <fill>
        <patternFill>
          <bgColor rgb="FFFCAB78"/>
        </patternFill>
      </fill>
    </dxf>
    <dxf>
      <fill>
        <patternFill>
          <bgColor rgb="FFFCAB78"/>
        </patternFill>
      </fill>
    </dxf>
    <dxf>
      <fill>
        <patternFill>
          <bgColor rgb="FFFA8A72"/>
        </patternFill>
      </fill>
    </dxf>
    <dxf>
      <fill>
        <patternFill>
          <bgColor rgb="FFFA8A72"/>
        </patternFill>
      </fill>
    </dxf>
    <dxf>
      <fill>
        <patternFill>
          <bgColor rgb="FFF9696A"/>
        </patternFill>
      </fill>
    </dxf>
    <dxf>
      <fill>
        <patternFill>
          <bgColor rgb="FF63BE7B"/>
        </patternFill>
      </fill>
    </dxf>
    <dxf>
      <fill>
        <patternFill>
          <bgColor rgb="FF88C47B"/>
        </patternFill>
      </fill>
    </dxf>
    <dxf>
      <fill>
        <patternFill>
          <bgColor rgb="FF88C47B"/>
        </patternFill>
      </fill>
    </dxf>
    <dxf>
      <fill>
        <patternFill>
          <bgColor rgb="FFB1D480"/>
        </patternFill>
      </fill>
    </dxf>
    <dxf>
      <fill>
        <patternFill>
          <bgColor rgb="FFB1D480"/>
        </patternFill>
      </fill>
    </dxf>
    <dxf>
      <fill>
        <patternFill>
          <bgColor rgb="FFB1D480"/>
        </patternFill>
      </fill>
    </dxf>
    <dxf>
      <fill>
        <patternFill>
          <bgColor rgb="FFD8E081"/>
        </patternFill>
      </fill>
    </dxf>
    <dxf>
      <fill>
        <patternFill>
          <bgColor rgb="FFD8E081"/>
        </patternFill>
      </fill>
    </dxf>
    <dxf>
      <fill>
        <patternFill>
          <bgColor rgb="FFD8E081"/>
        </patternFill>
      </fill>
    </dxf>
    <dxf>
      <fill>
        <patternFill>
          <bgColor rgb="FFD8E081"/>
        </patternFill>
      </fill>
    </dxf>
    <dxf>
      <fill>
        <patternFill>
          <bgColor rgb="FFFFEB83"/>
        </patternFill>
      </fill>
    </dxf>
    <dxf>
      <fill>
        <patternFill>
          <bgColor rgb="FFFFEB83"/>
        </patternFill>
      </fill>
    </dxf>
    <dxf>
      <fill>
        <patternFill>
          <bgColor rgb="FFFFEB83"/>
        </patternFill>
      </fill>
    </dxf>
    <dxf>
      <fill>
        <patternFill>
          <bgColor rgb="FFFFEB83"/>
        </patternFill>
      </fill>
    </dxf>
    <dxf>
      <fill>
        <patternFill>
          <bgColor rgb="FFFFEB83"/>
        </patternFill>
      </fill>
    </dxf>
    <dxf>
      <fill>
        <patternFill>
          <bgColor rgb="FFFFCB7E"/>
        </patternFill>
      </fill>
    </dxf>
    <dxf>
      <fill>
        <patternFill>
          <bgColor rgb="FFFFCB7E"/>
        </patternFill>
      </fill>
    </dxf>
    <dxf>
      <fill>
        <patternFill>
          <bgColor rgb="FFFFCB7E"/>
        </patternFill>
      </fill>
    </dxf>
    <dxf>
      <fill>
        <patternFill>
          <bgColor rgb="FFFFCB7E"/>
        </patternFill>
      </fill>
    </dxf>
    <dxf>
      <fill>
        <patternFill>
          <bgColor rgb="FFFCAB78"/>
        </patternFill>
      </fill>
    </dxf>
    <dxf>
      <fill>
        <patternFill>
          <bgColor rgb="FFFCAB78"/>
        </patternFill>
      </fill>
    </dxf>
    <dxf>
      <fill>
        <patternFill>
          <bgColor rgb="FFFCAB78"/>
        </patternFill>
      </fill>
    </dxf>
    <dxf>
      <fill>
        <patternFill>
          <bgColor rgb="FFFA8A72"/>
        </patternFill>
      </fill>
    </dxf>
    <dxf>
      <fill>
        <patternFill>
          <bgColor rgb="FFFA8A72"/>
        </patternFill>
      </fill>
    </dxf>
    <dxf>
      <fill>
        <patternFill>
          <bgColor rgb="FFF9696A"/>
        </patternFill>
      </fill>
    </dxf>
    <dxf>
      <font>
        <b/>
        <i val="0"/>
        <color theme="9" tint="-0.499984740745262"/>
      </font>
    </dxf>
    <dxf>
      <font>
        <b/>
        <i val="0"/>
        <color rgb="FFC00000"/>
      </font>
    </dxf>
    <dxf>
      <fill>
        <patternFill>
          <bgColor theme="8" tint="0.79998168889431442"/>
        </patternFill>
      </fill>
    </dxf>
    <dxf>
      <fill>
        <patternFill>
          <bgColor theme="8" tint="0.79998168889431442"/>
        </patternFill>
      </fill>
    </dxf>
    <dxf>
      <fill>
        <patternFill>
          <bgColor theme="8" tint="0.79998168889431442"/>
        </patternFill>
      </fill>
    </dxf>
    <dxf>
      <font>
        <color rgb="FF9C0006"/>
      </font>
      <fill>
        <patternFill>
          <bgColor rgb="FFFFC7CE"/>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9C0006"/>
      </font>
      <fill>
        <patternFill>
          <bgColor rgb="FFFFC7CE"/>
        </patternFill>
      </fill>
    </dxf>
    <dxf>
      <font>
        <color rgb="FFFF0000"/>
      </font>
    </dxf>
    <dxf>
      <font>
        <b/>
        <i val="0"/>
        <color theme="9" tint="-0.499984740745262"/>
      </font>
    </dxf>
    <dxf>
      <font>
        <b/>
        <i val="0"/>
        <color rgb="FFC00000"/>
      </font>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theme="4" tint="0.79998168889431442"/>
        </patternFill>
      </fill>
    </dxf>
    <dxf>
      <fill>
        <patternFill>
          <bgColor theme="4" tint="0.79998168889431442"/>
        </patternFill>
      </fill>
    </dxf>
    <dxf>
      <fill>
        <patternFill>
          <bgColor theme="4" tint="0.79998168889431442"/>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ill>
        <patternFill>
          <bgColor theme="4" tint="0.79998168889431442"/>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63BE7B"/>
        </patternFill>
      </fill>
    </dxf>
    <dxf>
      <fill>
        <patternFill>
          <bgColor rgb="FF88C47B"/>
        </patternFill>
      </fill>
    </dxf>
    <dxf>
      <fill>
        <patternFill>
          <bgColor rgb="FF88C47B"/>
        </patternFill>
      </fill>
    </dxf>
    <dxf>
      <fill>
        <patternFill>
          <bgColor rgb="FFB1D480"/>
        </patternFill>
      </fill>
    </dxf>
    <dxf>
      <fill>
        <patternFill>
          <bgColor rgb="FFB1D480"/>
        </patternFill>
      </fill>
    </dxf>
    <dxf>
      <fill>
        <patternFill>
          <bgColor rgb="FFB1D480"/>
        </patternFill>
      </fill>
    </dxf>
    <dxf>
      <fill>
        <patternFill>
          <bgColor rgb="FFD8E081"/>
        </patternFill>
      </fill>
    </dxf>
    <dxf>
      <fill>
        <patternFill>
          <bgColor rgb="FFD8E081"/>
        </patternFill>
      </fill>
    </dxf>
    <dxf>
      <fill>
        <patternFill>
          <bgColor rgb="FFD8E081"/>
        </patternFill>
      </fill>
    </dxf>
    <dxf>
      <fill>
        <patternFill>
          <bgColor rgb="FFD8E081"/>
        </patternFill>
      </fill>
    </dxf>
    <dxf>
      <fill>
        <patternFill>
          <bgColor rgb="FFFFEB83"/>
        </patternFill>
      </fill>
    </dxf>
    <dxf>
      <fill>
        <patternFill>
          <bgColor rgb="FFFFEB83"/>
        </patternFill>
      </fill>
    </dxf>
    <dxf>
      <fill>
        <patternFill>
          <bgColor rgb="FFFFEB83"/>
        </patternFill>
      </fill>
    </dxf>
    <dxf>
      <fill>
        <patternFill>
          <bgColor rgb="FFFFEB83"/>
        </patternFill>
      </fill>
    </dxf>
    <dxf>
      <fill>
        <patternFill>
          <bgColor rgb="FFFFEB83"/>
        </patternFill>
      </fill>
    </dxf>
    <dxf>
      <fill>
        <patternFill>
          <bgColor rgb="FFFFCB7E"/>
        </patternFill>
      </fill>
    </dxf>
    <dxf>
      <fill>
        <patternFill>
          <bgColor rgb="FFFFCB7E"/>
        </patternFill>
      </fill>
    </dxf>
    <dxf>
      <fill>
        <patternFill>
          <bgColor rgb="FFFFCB7E"/>
        </patternFill>
      </fill>
    </dxf>
    <dxf>
      <fill>
        <patternFill>
          <bgColor rgb="FFFFCB7E"/>
        </patternFill>
      </fill>
    </dxf>
    <dxf>
      <fill>
        <patternFill>
          <bgColor rgb="FFFCAB78"/>
        </patternFill>
      </fill>
    </dxf>
    <dxf>
      <fill>
        <patternFill>
          <bgColor rgb="FFFCAB78"/>
        </patternFill>
      </fill>
    </dxf>
    <dxf>
      <fill>
        <patternFill>
          <bgColor rgb="FFFCAB78"/>
        </patternFill>
      </fill>
    </dxf>
    <dxf>
      <fill>
        <patternFill>
          <bgColor rgb="FFFA8A72"/>
        </patternFill>
      </fill>
    </dxf>
    <dxf>
      <fill>
        <patternFill>
          <bgColor rgb="FFFA8A72"/>
        </patternFill>
      </fill>
    </dxf>
    <dxf>
      <fill>
        <patternFill>
          <bgColor rgb="FFF9696A"/>
        </patternFill>
      </fill>
    </dxf>
    <dxf>
      <fill>
        <patternFill>
          <bgColor rgb="FF63BE7B"/>
        </patternFill>
      </fill>
    </dxf>
    <dxf>
      <fill>
        <patternFill>
          <bgColor rgb="FF88C47B"/>
        </patternFill>
      </fill>
    </dxf>
    <dxf>
      <fill>
        <patternFill>
          <bgColor rgb="FF88C47B"/>
        </patternFill>
      </fill>
    </dxf>
    <dxf>
      <fill>
        <patternFill>
          <bgColor rgb="FFB1D480"/>
        </patternFill>
      </fill>
    </dxf>
    <dxf>
      <fill>
        <patternFill>
          <bgColor rgb="FFB1D480"/>
        </patternFill>
      </fill>
    </dxf>
    <dxf>
      <fill>
        <patternFill>
          <bgColor rgb="FFB1D480"/>
        </patternFill>
      </fill>
    </dxf>
    <dxf>
      <fill>
        <patternFill>
          <bgColor rgb="FFD8E081"/>
        </patternFill>
      </fill>
    </dxf>
    <dxf>
      <fill>
        <patternFill>
          <bgColor rgb="FFD8E081"/>
        </patternFill>
      </fill>
    </dxf>
    <dxf>
      <fill>
        <patternFill>
          <bgColor rgb="FFD8E081"/>
        </patternFill>
      </fill>
    </dxf>
    <dxf>
      <fill>
        <patternFill>
          <bgColor rgb="FFD8E081"/>
        </patternFill>
      </fill>
    </dxf>
    <dxf>
      <fill>
        <patternFill>
          <bgColor rgb="FFFFEB83"/>
        </patternFill>
      </fill>
    </dxf>
    <dxf>
      <fill>
        <patternFill>
          <bgColor rgb="FFFFEB83"/>
        </patternFill>
      </fill>
    </dxf>
    <dxf>
      <fill>
        <patternFill>
          <bgColor rgb="FFFFEB83"/>
        </patternFill>
      </fill>
    </dxf>
    <dxf>
      <fill>
        <patternFill>
          <bgColor rgb="FFFFEB83"/>
        </patternFill>
      </fill>
    </dxf>
    <dxf>
      <fill>
        <patternFill>
          <bgColor rgb="FFFFEB83"/>
        </patternFill>
      </fill>
    </dxf>
    <dxf>
      <fill>
        <patternFill>
          <bgColor rgb="FFFFCB7E"/>
        </patternFill>
      </fill>
    </dxf>
    <dxf>
      <fill>
        <patternFill>
          <bgColor rgb="FFFFCB7E"/>
        </patternFill>
      </fill>
    </dxf>
    <dxf>
      <fill>
        <patternFill>
          <bgColor rgb="FFFFCB7E"/>
        </patternFill>
      </fill>
    </dxf>
    <dxf>
      <fill>
        <patternFill>
          <bgColor rgb="FFFFCB7E"/>
        </patternFill>
      </fill>
    </dxf>
    <dxf>
      <fill>
        <patternFill>
          <bgColor rgb="FFFCAB78"/>
        </patternFill>
      </fill>
    </dxf>
    <dxf>
      <fill>
        <patternFill>
          <bgColor rgb="FFFCAB78"/>
        </patternFill>
      </fill>
    </dxf>
    <dxf>
      <fill>
        <patternFill>
          <bgColor rgb="FFFCAB78"/>
        </patternFill>
      </fill>
    </dxf>
    <dxf>
      <fill>
        <patternFill>
          <bgColor rgb="FFFA8A72"/>
        </patternFill>
      </fill>
    </dxf>
    <dxf>
      <fill>
        <patternFill>
          <bgColor rgb="FFFA8A72"/>
        </patternFill>
      </fill>
    </dxf>
    <dxf>
      <fill>
        <patternFill>
          <bgColor rgb="FFF9696A"/>
        </patternFill>
      </fill>
    </dxf>
    <dxf>
      <fill>
        <patternFill>
          <bgColor rgb="FF63BE7B"/>
        </patternFill>
      </fill>
    </dxf>
    <dxf>
      <fill>
        <patternFill>
          <bgColor rgb="FF88C47B"/>
        </patternFill>
      </fill>
    </dxf>
    <dxf>
      <fill>
        <patternFill>
          <bgColor rgb="FF88C47B"/>
        </patternFill>
      </fill>
    </dxf>
    <dxf>
      <fill>
        <patternFill>
          <bgColor rgb="FFB1D480"/>
        </patternFill>
      </fill>
    </dxf>
    <dxf>
      <fill>
        <patternFill>
          <bgColor rgb="FFB1D480"/>
        </patternFill>
      </fill>
    </dxf>
    <dxf>
      <fill>
        <patternFill>
          <bgColor rgb="FFB1D480"/>
        </patternFill>
      </fill>
    </dxf>
    <dxf>
      <fill>
        <patternFill>
          <bgColor rgb="FFD9E181"/>
        </patternFill>
      </fill>
    </dxf>
    <dxf>
      <fill>
        <patternFill>
          <bgColor rgb="FFD9E181"/>
        </patternFill>
      </fill>
    </dxf>
    <dxf>
      <fill>
        <patternFill>
          <bgColor rgb="FFD9E181"/>
        </patternFill>
      </fill>
    </dxf>
    <dxf>
      <fill>
        <patternFill>
          <bgColor rgb="FFD9E181"/>
        </patternFill>
      </fill>
    </dxf>
    <dxf>
      <fill>
        <patternFill>
          <bgColor rgb="FFFFEC83"/>
        </patternFill>
      </fill>
    </dxf>
    <dxf>
      <fill>
        <patternFill>
          <bgColor rgb="FFFFEC83"/>
        </patternFill>
      </fill>
    </dxf>
    <dxf>
      <fill>
        <patternFill>
          <bgColor rgb="FFFFEC83"/>
        </patternFill>
      </fill>
    </dxf>
    <dxf>
      <fill>
        <patternFill>
          <bgColor rgb="FFFFEC83"/>
        </patternFill>
      </fill>
    </dxf>
    <dxf>
      <fill>
        <patternFill>
          <bgColor rgb="FFFFEC83"/>
        </patternFill>
      </fill>
    </dxf>
    <dxf>
      <fill>
        <patternFill>
          <bgColor rgb="FFFFCB7E"/>
        </patternFill>
      </fill>
    </dxf>
    <dxf>
      <fill>
        <patternFill>
          <bgColor rgb="FFFFCB7E"/>
        </patternFill>
      </fill>
    </dxf>
    <dxf>
      <fill>
        <patternFill>
          <bgColor rgb="FFFFCB7E"/>
        </patternFill>
      </fill>
    </dxf>
    <dxf>
      <fill>
        <patternFill>
          <bgColor rgb="FFFFCB7E"/>
        </patternFill>
      </fill>
    </dxf>
    <dxf>
      <fill>
        <patternFill>
          <bgColor rgb="FFFCAB78"/>
        </patternFill>
      </fill>
    </dxf>
    <dxf>
      <fill>
        <patternFill>
          <bgColor rgb="FFFCAB78"/>
        </patternFill>
      </fill>
    </dxf>
    <dxf>
      <fill>
        <patternFill>
          <bgColor rgb="FFFCAB78"/>
        </patternFill>
      </fill>
    </dxf>
    <dxf>
      <fill>
        <patternFill>
          <bgColor rgb="FFFA8A72"/>
        </patternFill>
      </fill>
    </dxf>
    <dxf>
      <fill>
        <patternFill>
          <bgColor rgb="FFFA8A72"/>
        </patternFill>
      </fill>
    </dxf>
    <dxf>
      <fill>
        <patternFill>
          <bgColor rgb="FFFA696A"/>
        </patternFill>
      </fill>
    </dxf>
    <dxf>
      <fill>
        <patternFill>
          <bgColor rgb="FF88C47B"/>
        </patternFill>
      </fill>
    </dxf>
    <dxf>
      <fill>
        <patternFill>
          <bgColor rgb="FF88C47B"/>
        </patternFill>
      </fill>
    </dxf>
    <dxf>
      <fill>
        <patternFill>
          <bgColor rgb="FFB1D480"/>
        </patternFill>
      </fill>
    </dxf>
    <dxf>
      <fill>
        <patternFill>
          <bgColor rgb="FFB1D480"/>
        </patternFill>
      </fill>
    </dxf>
    <dxf>
      <fill>
        <patternFill>
          <bgColor rgb="FFB1D480"/>
        </patternFill>
      </fill>
    </dxf>
    <dxf>
      <fill>
        <patternFill>
          <bgColor rgb="FFD9E181"/>
        </patternFill>
      </fill>
    </dxf>
    <dxf>
      <fill>
        <patternFill>
          <bgColor rgb="FFD9E181"/>
        </patternFill>
      </fill>
    </dxf>
    <dxf>
      <fill>
        <patternFill>
          <bgColor rgb="FFD9E181"/>
        </patternFill>
      </fill>
    </dxf>
    <dxf>
      <fill>
        <patternFill>
          <bgColor rgb="FFD9E181"/>
        </patternFill>
      </fill>
    </dxf>
    <dxf>
      <fill>
        <patternFill>
          <bgColor rgb="FFFFEC83"/>
        </patternFill>
      </fill>
    </dxf>
    <dxf>
      <fill>
        <patternFill>
          <bgColor rgb="FFFFEC83"/>
        </patternFill>
      </fill>
    </dxf>
    <dxf>
      <fill>
        <patternFill>
          <bgColor rgb="FFFFEC83"/>
        </patternFill>
      </fill>
    </dxf>
    <dxf>
      <fill>
        <patternFill>
          <bgColor rgb="FFFFEC83"/>
        </patternFill>
      </fill>
    </dxf>
    <dxf>
      <fill>
        <patternFill>
          <bgColor rgb="FFFFEC83"/>
        </patternFill>
      </fill>
    </dxf>
    <dxf>
      <fill>
        <patternFill>
          <bgColor rgb="FFFFCB7E"/>
        </patternFill>
      </fill>
    </dxf>
    <dxf>
      <fill>
        <patternFill>
          <bgColor rgb="FFFFCB7E"/>
        </patternFill>
      </fill>
    </dxf>
    <dxf>
      <fill>
        <patternFill>
          <bgColor rgb="FFFFCB7E"/>
        </patternFill>
      </fill>
    </dxf>
    <dxf>
      <fill>
        <patternFill>
          <bgColor rgb="FFFFCB7E"/>
        </patternFill>
      </fill>
    </dxf>
    <dxf>
      <fill>
        <patternFill>
          <bgColor rgb="FFFCAB78"/>
        </patternFill>
      </fill>
    </dxf>
    <dxf>
      <fill>
        <patternFill>
          <bgColor rgb="FFFCAB78"/>
        </patternFill>
      </fill>
    </dxf>
    <dxf>
      <fill>
        <patternFill>
          <bgColor rgb="FFFCAB78"/>
        </patternFill>
      </fill>
    </dxf>
    <dxf>
      <fill>
        <patternFill>
          <bgColor rgb="FFFA8A72"/>
        </patternFill>
      </fill>
    </dxf>
    <dxf>
      <fill>
        <patternFill>
          <bgColor rgb="FFFA8A72"/>
        </patternFill>
      </fill>
    </dxf>
    <dxf>
      <fill>
        <patternFill>
          <bgColor rgb="FFFA696A"/>
        </patternFill>
      </fill>
    </dxf>
    <dxf>
      <font>
        <color rgb="FF63BE7B"/>
      </font>
    </dxf>
    <dxf>
      <font>
        <color rgb="FFB1D480"/>
      </font>
    </dxf>
    <dxf>
      <font>
        <color rgb="FFFFEB83"/>
      </font>
    </dxf>
    <dxf>
      <font>
        <color rgb="FFFCAB78"/>
      </font>
    </dxf>
    <dxf>
      <font>
        <color rgb="FFF9696A"/>
      </font>
    </dxf>
    <dxf>
      <font>
        <color rgb="FF63BE7B"/>
      </font>
    </dxf>
    <dxf>
      <font>
        <color rgb="FFB1D480"/>
      </font>
    </dxf>
    <dxf>
      <font>
        <color rgb="FFFFEB83"/>
      </font>
    </dxf>
    <dxf>
      <font>
        <color rgb="FFFCAB78"/>
      </font>
    </dxf>
    <dxf>
      <font>
        <color rgb="FFF9696A"/>
      </font>
    </dxf>
    <dxf>
      <fill>
        <patternFill>
          <bgColor rgb="FF63BE7B"/>
        </patternFill>
      </fill>
    </dxf>
    <dxf>
      <fill>
        <patternFill>
          <bgColor rgb="FF63BE7B"/>
        </patternFill>
      </fill>
    </dxf>
    <dxf>
      <fill>
        <patternFill>
          <bgColor rgb="FF88C47B"/>
        </patternFill>
      </fill>
    </dxf>
    <dxf>
      <fill>
        <patternFill>
          <bgColor rgb="FF88C47B"/>
        </patternFill>
      </fill>
    </dxf>
    <dxf>
      <fill>
        <patternFill>
          <bgColor rgb="FFB1D480"/>
        </patternFill>
      </fill>
    </dxf>
    <dxf>
      <fill>
        <patternFill>
          <bgColor rgb="FFB1D480"/>
        </patternFill>
      </fill>
    </dxf>
    <dxf>
      <fill>
        <patternFill>
          <bgColor rgb="FFB1D480"/>
        </patternFill>
      </fill>
    </dxf>
    <dxf>
      <fill>
        <patternFill>
          <bgColor rgb="FFD9E181"/>
        </patternFill>
      </fill>
    </dxf>
    <dxf>
      <fill>
        <patternFill>
          <bgColor rgb="FFD9E181"/>
        </patternFill>
      </fill>
    </dxf>
    <dxf>
      <fill>
        <patternFill>
          <bgColor rgb="FFD9E181"/>
        </patternFill>
      </fill>
    </dxf>
    <dxf>
      <fill>
        <patternFill>
          <bgColor rgb="FFD9E181"/>
        </patternFill>
      </fill>
    </dxf>
    <dxf>
      <fill>
        <patternFill>
          <bgColor rgb="FFFFEC83"/>
        </patternFill>
      </fill>
    </dxf>
    <dxf>
      <fill>
        <patternFill>
          <bgColor rgb="FFFFEC83"/>
        </patternFill>
      </fill>
    </dxf>
    <dxf>
      <fill>
        <patternFill>
          <bgColor rgb="FFFFEC83"/>
        </patternFill>
      </fill>
    </dxf>
    <dxf>
      <fill>
        <patternFill>
          <bgColor rgb="FFFFEC83"/>
        </patternFill>
      </fill>
    </dxf>
    <dxf>
      <fill>
        <patternFill>
          <bgColor rgb="FFFFEC83"/>
        </patternFill>
      </fill>
    </dxf>
    <dxf>
      <fill>
        <patternFill>
          <bgColor rgb="FFFFCB7E"/>
        </patternFill>
      </fill>
    </dxf>
    <dxf>
      <fill>
        <patternFill>
          <bgColor rgb="FFFFCB7E"/>
        </patternFill>
      </fill>
    </dxf>
    <dxf>
      <fill>
        <patternFill>
          <bgColor rgb="FFFFCB7E"/>
        </patternFill>
      </fill>
    </dxf>
    <dxf>
      <fill>
        <patternFill>
          <bgColor rgb="FFFFCB7E"/>
        </patternFill>
      </fill>
    </dxf>
    <dxf>
      <fill>
        <patternFill>
          <bgColor rgb="FFFCAB78"/>
        </patternFill>
      </fill>
    </dxf>
    <dxf>
      <fill>
        <patternFill>
          <bgColor rgb="FFFCAB78"/>
        </patternFill>
      </fill>
    </dxf>
    <dxf>
      <fill>
        <patternFill>
          <bgColor rgb="FFFCAB78"/>
        </patternFill>
      </fill>
    </dxf>
    <dxf>
      <fill>
        <patternFill>
          <bgColor rgb="FFFA8A72"/>
        </patternFill>
      </fill>
    </dxf>
    <dxf>
      <fill>
        <patternFill>
          <bgColor rgb="FFFA8A72"/>
        </patternFill>
      </fill>
    </dxf>
    <dxf>
      <fill>
        <patternFill>
          <bgColor rgb="FFFA696A"/>
        </patternFill>
      </fill>
    </dxf>
    <dxf>
      <fill>
        <patternFill>
          <bgColor rgb="FF88C47B"/>
        </patternFill>
      </fill>
    </dxf>
    <dxf>
      <fill>
        <patternFill>
          <bgColor rgb="FF88C47B"/>
        </patternFill>
      </fill>
    </dxf>
    <dxf>
      <fill>
        <patternFill>
          <bgColor rgb="FFB1D480"/>
        </patternFill>
      </fill>
    </dxf>
    <dxf>
      <fill>
        <patternFill>
          <bgColor rgb="FFB1D480"/>
        </patternFill>
      </fill>
    </dxf>
    <dxf>
      <fill>
        <patternFill>
          <bgColor rgb="FFB1D480"/>
        </patternFill>
      </fill>
    </dxf>
    <dxf>
      <fill>
        <patternFill>
          <bgColor rgb="FFD9E181"/>
        </patternFill>
      </fill>
    </dxf>
    <dxf>
      <fill>
        <patternFill>
          <bgColor rgb="FFD9E181"/>
        </patternFill>
      </fill>
    </dxf>
    <dxf>
      <fill>
        <patternFill>
          <bgColor rgb="FFD9E181"/>
        </patternFill>
      </fill>
    </dxf>
    <dxf>
      <fill>
        <patternFill>
          <bgColor rgb="FFD9E181"/>
        </patternFill>
      </fill>
    </dxf>
    <dxf>
      <fill>
        <patternFill>
          <bgColor rgb="FFFFEC83"/>
        </patternFill>
      </fill>
    </dxf>
    <dxf>
      <fill>
        <patternFill>
          <bgColor rgb="FFFFEC83"/>
        </patternFill>
      </fill>
    </dxf>
    <dxf>
      <fill>
        <patternFill>
          <bgColor rgb="FFFFEC83"/>
        </patternFill>
      </fill>
    </dxf>
    <dxf>
      <fill>
        <patternFill>
          <bgColor rgb="FFFFEC83"/>
        </patternFill>
      </fill>
    </dxf>
    <dxf>
      <fill>
        <patternFill>
          <bgColor rgb="FFFFEC83"/>
        </patternFill>
      </fill>
    </dxf>
    <dxf>
      <fill>
        <patternFill>
          <bgColor rgb="FFFFCB7E"/>
        </patternFill>
      </fill>
    </dxf>
    <dxf>
      <fill>
        <patternFill>
          <bgColor rgb="FFFFCB7E"/>
        </patternFill>
      </fill>
    </dxf>
    <dxf>
      <fill>
        <patternFill>
          <bgColor rgb="FFFFCB7E"/>
        </patternFill>
      </fill>
    </dxf>
    <dxf>
      <fill>
        <patternFill>
          <bgColor rgb="FFFFCB7E"/>
        </patternFill>
      </fill>
    </dxf>
    <dxf>
      <fill>
        <patternFill>
          <bgColor rgb="FFFCAB78"/>
        </patternFill>
      </fill>
    </dxf>
    <dxf>
      <fill>
        <patternFill>
          <bgColor rgb="FFFCAB78"/>
        </patternFill>
      </fill>
    </dxf>
    <dxf>
      <fill>
        <patternFill>
          <bgColor rgb="FFFCAB78"/>
        </patternFill>
      </fill>
    </dxf>
    <dxf>
      <fill>
        <patternFill>
          <bgColor rgb="FFFA8A72"/>
        </patternFill>
      </fill>
    </dxf>
    <dxf>
      <fill>
        <patternFill>
          <bgColor rgb="FFFA8A72"/>
        </patternFill>
      </fill>
    </dxf>
    <dxf>
      <fill>
        <patternFill>
          <bgColor rgb="FFFA696A"/>
        </patternFill>
      </fill>
    </dxf>
    <dxf>
      <fill>
        <patternFill>
          <bgColor theme="8" tint="0.79998168889431442"/>
        </patternFill>
      </fill>
    </dxf>
    <dxf>
      <fill>
        <patternFill>
          <bgColor theme="8" tint="0.79998168889431442"/>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FF0000"/>
      </font>
    </dxf>
    <dxf>
      <font>
        <color rgb="FF9C0006"/>
      </font>
      <fill>
        <patternFill>
          <bgColor rgb="FFFFC7CE"/>
        </patternFill>
      </fill>
    </dxf>
    <dxf>
      <font>
        <color rgb="FFFF0000"/>
      </font>
    </dxf>
    <dxf>
      <font>
        <color rgb="FF9C0006"/>
      </font>
      <fill>
        <patternFill>
          <bgColor rgb="FFFFC7CE"/>
        </patternFill>
      </fill>
    </dxf>
    <dxf>
      <font>
        <color rgb="FFFF0000"/>
      </font>
    </dxf>
    <dxf>
      <font>
        <color rgb="FF9C0006"/>
      </font>
      <fill>
        <patternFill>
          <bgColor rgb="FFFFC7CE"/>
        </patternFill>
      </fill>
    </dxf>
    <dxf>
      <fill>
        <patternFill>
          <bgColor theme="4" tint="0.79998168889431442"/>
        </patternFill>
      </fill>
    </dxf>
    <dxf>
      <font>
        <color rgb="FF9C0006"/>
      </font>
      <fill>
        <patternFill>
          <bgColor rgb="FFFFC7CE"/>
        </patternFill>
      </fill>
    </dxf>
    <dxf>
      <font>
        <color rgb="FFFF0000"/>
      </font>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theme="4" tint="0.79998168889431442"/>
        </patternFill>
      </fill>
    </dxf>
    <dxf>
      <font>
        <color rgb="FF9C0006"/>
      </font>
      <fill>
        <patternFill>
          <bgColor rgb="FFFFC7CE"/>
        </patternFill>
      </fill>
    </dxf>
    <dxf>
      <font>
        <color rgb="FF006100"/>
      </font>
      <fill>
        <patternFill>
          <bgColor rgb="FFC6EFCE"/>
        </patternFill>
      </fill>
    </dxf>
    <dxf>
      <font>
        <color theme="8" tint="-0.499984740745262"/>
      </font>
      <fill>
        <patternFill>
          <bgColor theme="4" tint="0.79998168889431442"/>
        </patternFill>
      </fill>
    </dxf>
    <dxf>
      <fill>
        <patternFill>
          <bgColor theme="4" tint="0.79998168889431442"/>
        </patternFill>
      </fill>
    </dxf>
    <dxf>
      <font>
        <color rgb="FF9C0006"/>
      </font>
      <fill>
        <patternFill>
          <bgColor rgb="FFFFC7CE"/>
        </patternFill>
      </fill>
    </dxf>
    <dxf>
      <font>
        <color rgb="FF006100"/>
      </font>
      <fill>
        <patternFill>
          <bgColor rgb="FFC6EFCE"/>
        </patternFill>
      </fill>
    </dxf>
    <dxf>
      <font>
        <color theme="8" tint="-0.499984740745262"/>
      </font>
      <fill>
        <patternFill>
          <bgColor theme="4" tint="0.79998168889431442"/>
        </patternFill>
      </fill>
    </dxf>
    <dxf>
      <fill>
        <patternFill>
          <bgColor theme="4" tint="0.79998168889431442"/>
        </patternFill>
      </fill>
    </dxf>
    <dxf>
      <fill>
        <patternFill>
          <bgColor theme="4" tint="0.79998168889431442"/>
        </patternFill>
      </fill>
    </dxf>
    <dxf>
      <font>
        <b/>
        <i val="0"/>
        <color rgb="FFC00000"/>
      </font>
    </dxf>
    <dxf>
      <font>
        <b/>
        <i val="0"/>
        <color theme="9" tint="-0.499984740745262"/>
      </font>
    </dxf>
    <dxf>
      <font>
        <color theme="4" tint="-0.499984740745262"/>
      </font>
      <fill>
        <patternFill>
          <bgColor theme="4" tint="0.79998168889431442"/>
        </patternFill>
      </fill>
    </dxf>
    <dxf>
      <fill>
        <patternFill>
          <bgColor theme="4" tint="0.79998168889431442"/>
        </patternFill>
      </fill>
    </dxf>
    <dxf>
      <fill>
        <patternFill>
          <bgColor theme="4" tint="0.79998168889431442"/>
        </patternFill>
      </fill>
    </dxf>
    <dxf>
      <fill>
        <patternFill>
          <bgColor rgb="FF63BE7B"/>
        </patternFill>
      </fill>
    </dxf>
    <dxf>
      <fill>
        <patternFill>
          <bgColor rgb="FF88C47B"/>
        </patternFill>
      </fill>
    </dxf>
    <dxf>
      <fill>
        <patternFill>
          <bgColor rgb="FF88C47B"/>
        </patternFill>
      </fill>
    </dxf>
    <dxf>
      <fill>
        <patternFill>
          <bgColor rgb="FFB1D480"/>
        </patternFill>
      </fill>
    </dxf>
    <dxf>
      <fill>
        <patternFill>
          <bgColor rgb="FFB1D480"/>
        </patternFill>
      </fill>
    </dxf>
    <dxf>
      <fill>
        <patternFill>
          <bgColor rgb="FFB1D480"/>
        </patternFill>
      </fill>
    </dxf>
    <dxf>
      <fill>
        <patternFill>
          <bgColor rgb="FFD8E081"/>
        </patternFill>
      </fill>
    </dxf>
    <dxf>
      <fill>
        <patternFill>
          <bgColor rgb="FFD8E081"/>
        </patternFill>
      </fill>
    </dxf>
    <dxf>
      <fill>
        <patternFill>
          <bgColor rgb="FFD8E081"/>
        </patternFill>
      </fill>
    </dxf>
    <dxf>
      <fill>
        <patternFill>
          <bgColor rgb="FFD8E081"/>
        </patternFill>
      </fill>
    </dxf>
    <dxf>
      <fill>
        <patternFill>
          <bgColor rgb="FFFFEB83"/>
        </patternFill>
      </fill>
    </dxf>
    <dxf>
      <fill>
        <patternFill>
          <bgColor rgb="FFFFEB83"/>
        </patternFill>
      </fill>
    </dxf>
    <dxf>
      <fill>
        <patternFill>
          <bgColor rgb="FFFFEB83"/>
        </patternFill>
      </fill>
    </dxf>
    <dxf>
      <fill>
        <patternFill>
          <bgColor rgb="FFFFEB83"/>
        </patternFill>
      </fill>
    </dxf>
    <dxf>
      <fill>
        <patternFill>
          <bgColor rgb="FFFFEB83"/>
        </patternFill>
      </fill>
    </dxf>
    <dxf>
      <fill>
        <patternFill>
          <bgColor rgb="FFFFCB7E"/>
        </patternFill>
      </fill>
    </dxf>
    <dxf>
      <fill>
        <patternFill>
          <bgColor rgb="FFFFCB7E"/>
        </patternFill>
      </fill>
    </dxf>
    <dxf>
      <fill>
        <patternFill>
          <bgColor rgb="FFFFCB7E"/>
        </patternFill>
      </fill>
    </dxf>
    <dxf>
      <fill>
        <patternFill>
          <bgColor rgb="FFFFCB7E"/>
        </patternFill>
      </fill>
    </dxf>
    <dxf>
      <fill>
        <patternFill>
          <bgColor rgb="FFFCAB78"/>
        </patternFill>
      </fill>
    </dxf>
    <dxf>
      <fill>
        <patternFill>
          <bgColor rgb="FFFCAB78"/>
        </patternFill>
      </fill>
    </dxf>
    <dxf>
      <fill>
        <patternFill>
          <bgColor rgb="FFFCAB78"/>
        </patternFill>
      </fill>
    </dxf>
    <dxf>
      <fill>
        <patternFill>
          <bgColor rgb="FFFA8A72"/>
        </patternFill>
      </fill>
    </dxf>
    <dxf>
      <fill>
        <patternFill>
          <bgColor rgb="FFFA8A72"/>
        </patternFill>
      </fill>
    </dxf>
    <dxf>
      <fill>
        <patternFill>
          <bgColor rgb="FFF9696A"/>
        </patternFill>
      </fill>
    </dxf>
    <dxf>
      <font>
        <color rgb="FF9C0006"/>
      </font>
      <fill>
        <patternFill>
          <bgColor rgb="FFFFC7CE"/>
        </patternFill>
      </fill>
    </dxf>
    <dxf>
      <font>
        <color rgb="FF006100"/>
      </font>
      <fill>
        <patternFill>
          <bgColor rgb="FFC6EFCE"/>
        </patternFill>
      </fill>
    </dxf>
    <dxf>
      <font>
        <color theme="8" tint="-0.499984740745262"/>
      </font>
      <fill>
        <patternFill>
          <bgColor theme="4" tint="0.79998168889431442"/>
        </patternFill>
      </fill>
    </dxf>
    <dxf>
      <fill>
        <patternFill>
          <bgColor theme="4" tint="0.79998168889431442"/>
        </patternFill>
      </fill>
    </dxf>
    <dxf>
      <font>
        <color rgb="FF9C0006"/>
      </font>
      <fill>
        <patternFill>
          <bgColor rgb="FFFFC7CE"/>
        </patternFill>
      </fill>
    </dxf>
    <dxf>
      <font>
        <color rgb="FF006100"/>
      </font>
      <fill>
        <patternFill>
          <bgColor rgb="FFC6EFCE"/>
        </patternFill>
      </fill>
    </dxf>
    <dxf>
      <font>
        <color theme="8" tint="-0.499984740745262"/>
      </font>
      <fill>
        <patternFill>
          <bgColor theme="4" tint="0.79998168889431442"/>
        </patternFill>
      </fill>
    </dxf>
    <dxf>
      <fill>
        <patternFill>
          <bgColor theme="4" tint="0.79998168889431442"/>
        </patternFill>
      </fill>
    </dxf>
    <dxf>
      <font>
        <color rgb="FF9C0006"/>
      </font>
      <fill>
        <patternFill>
          <bgColor rgb="FFFFC7CE"/>
        </patternFill>
      </fill>
    </dxf>
    <dxf>
      <font>
        <b/>
        <i val="0"/>
        <color rgb="FFC00000"/>
      </font>
    </dxf>
    <dxf>
      <fill>
        <patternFill>
          <bgColor theme="4" tint="0.79998168889431442"/>
        </patternFill>
      </fill>
    </dxf>
    <dxf>
      <font>
        <b/>
        <i val="0"/>
        <color rgb="FFC00000"/>
      </font>
    </dxf>
    <dxf>
      <font>
        <b/>
        <i val="0"/>
        <color theme="9" tint="-0.499984740745262"/>
      </font>
    </dxf>
    <dxf>
      <font>
        <color theme="4" tint="-0.499984740745262"/>
      </font>
      <fill>
        <patternFill>
          <bgColor theme="4" tint="0.79998168889431442"/>
        </patternFill>
      </fill>
    </dxf>
    <dxf>
      <fill>
        <patternFill>
          <bgColor theme="4" tint="0.79998168889431442"/>
        </patternFill>
      </fill>
    </dxf>
    <dxf>
      <font>
        <color rgb="FF9C0006"/>
      </font>
      <fill>
        <patternFill>
          <bgColor rgb="FFFFC7CE"/>
        </patternFill>
      </fill>
    </dxf>
    <dxf>
      <font>
        <color rgb="FF006100"/>
      </font>
      <fill>
        <patternFill>
          <bgColor rgb="FFC6EFCE"/>
        </patternFill>
      </fill>
    </dxf>
    <dxf>
      <font>
        <color theme="8" tint="-0.499984740745262"/>
      </font>
      <fill>
        <patternFill>
          <bgColor theme="4"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63BE7B"/>
        </patternFill>
      </fill>
    </dxf>
    <dxf>
      <fill>
        <patternFill>
          <bgColor rgb="FF88C47B"/>
        </patternFill>
      </fill>
    </dxf>
    <dxf>
      <fill>
        <patternFill>
          <bgColor rgb="FF88C47B"/>
        </patternFill>
      </fill>
    </dxf>
    <dxf>
      <fill>
        <patternFill>
          <bgColor rgb="FFB1D480"/>
        </patternFill>
      </fill>
    </dxf>
    <dxf>
      <fill>
        <patternFill>
          <bgColor rgb="FFB1D480"/>
        </patternFill>
      </fill>
    </dxf>
    <dxf>
      <fill>
        <patternFill>
          <bgColor rgb="FFB1D480"/>
        </patternFill>
      </fill>
    </dxf>
    <dxf>
      <fill>
        <patternFill>
          <bgColor rgb="FFD8E081"/>
        </patternFill>
      </fill>
    </dxf>
    <dxf>
      <fill>
        <patternFill>
          <bgColor rgb="FFD8E081"/>
        </patternFill>
      </fill>
    </dxf>
    <dxf>
      <fill>
        <patternFill>
          <bgColor rgb="FFD8E081"/>
        </patternFill>
      </fill>
    </dxf>
    <dxf>
      <fill>
        <patternFill>
          <bgColor rgb="FFD8E081"/>
        </patternFill>
      </fill>
    </dxf>
    <dxf>
      <fill>
        <patternFill>
          <bgColor rgb="FFFFEB83"/>
        </patternFill>
      </fill>
    </dxf>
    <dxf>
      <fill>
        <patternFill>
          <bgColor rgb="FFFFEB83"/>
        </patternFill>
      </fill>
    </dxf>
    <dxf>
      <fill>
        <patternFill>
          <bgColor rgb="FFFFEB83"/>
        </patternFill>
      </fill>
    </dxf>
    <dxf>
      <fill>
        <patternFill>
          <bgColor rgb="FFFFEB83"/>
        </patternFill>
      </fill>
    </dxf>
    <dxf>
      <fill>
        <patternFill>
          <bgColor rgb="FFFFEB83"/>
        </patternFill>
      </fill>
    </dxf>
    <dxf>
      <fill>
        <patternFill>
          <bgColor rgb="FFFFCB7E"/>
        </patternFill>
      </fill>
    </dxf>
    <dxf>
      <fill>
        <patternFill>
          <bgColor rgb="FFFFCB7E"/>
        </patternFill>
      </fill>
    </dxf>
    <dxf>
      <fill>
        <patternFill>
          <bgColor rgb="FFFFCB7E"/>
        </patternFill>
      </fill>
    </dxf>
    <dxf>
      <fill>
        <patternFill>
          <bgColor rgb="FFFFCB7E"/>
        </patternFill>
      </fill>
    </dxf>
    <dxf>
      <fill>
        <patternFill>
          <bgColor rgb="FFFCAB78"/>
        </patternFill>
      </fill>
    </dxf>
    <dxf>
      <fill>
        <patternFill>
          <bgColor rgb="FFFCAB78"/>
        </patternFill>
      </fill>
    </dxf>
    <dxf>
      <fill>
        <patternFill>
          <bgColor rgb="FFFCAB78"/>
        </patternFill>
      </fill>
    </dxf>
    <dxf>
      <fill>
        <patternFill>
          <bgColor rgb="FFFA8A72"/>
        </patternFill>
      </fill>
    </dxf>
    <dxf>
      <fill>
        <patternFill>
          <bgColor rgb="FFFA8A72"/>
        </patternFill>
      </fill>
    </dxf>
    <dxf>
      <fill>
        <patternFill>
          <bgColor rgb="FFF9696A"/>
        </patternFill>
      </fill>
    </dxf>
    <dxf>
      <fill>
        <patternFill>
          <bgColor rgb="FF63BE7B"/>
        </patternFill>
      </fill>
    </dxf>
    <dxf>
      <fill>
        <patternFill>
          <bgColor rgb="FF88C47B"/>
        </patternFill>
      </fill>
    </dxf>
    <dxf>
      <fill>
        <patternFill>
          <bgColor rgb="FF88C47B"/>
        </patternFill>
      </fill>
    </dxf>
    <dxf>
      <fill>
        <patternFill>
          <bgColor rgb="FFB1D480"/>
        </patternFill>
      </fill>
    </dxf>
    <dxf>
      <fill>
        <patternFill>
          <bgColor rgb="FFB1D480"/>
        </patternFill>
      </fill>
    </dxf>
    <dxf>
      <fill>
        <patternFill>
          <bgColor rgb="FFB1D480"/>
        </patternFill>
      </fill>
    </dxf>
    <dxf>
      <fill>
        <patternFill>
          <bgColor rgb="FFD8E081"/>
        </patternFill>
      </fill>
    </dxf>
    <dxf>
      <fill>
        <patternFill>
          <bgColor rgb="FFD8E081"/>
        </patternFill>
      </fill>
    </dxf>
    <dxf>
      <fill>
        <patternFill>
          <bgColor rgb="FFD8E081"/>
        </patternFill>
      </fill>
    </dxf>
    <dxf>
      <fill>
        <patternFill>
          <bgColor rgb="FFD8E081"/>
        </patternFill>
      </fill>
    </dxf>
    <dxf>
      <fill>
        <patternFill>
          <bgColor rgb="FFFFEB83"/>
        </patternFill>
      </fill>
    </dxf>
    <dxf>
      <fill>
        <patternFill>
          <bgColor rgb="FFFFEB83"/>
        </patternFill>
      </fill>
    </dxf>
    <dxf>
      <fill>
        <patternFill>
          <bgColor rgb="FFFFEB83"/>
        </patternFill>
      </fill>
    </dxf>
    <dxf>
      <fill>
        <patternFill>
          <bgColor rgb="FFFFEB83"/>
        </patternFill>
      </fill>
    </dxf>
    <dxf>
      <fill>
        <patternFill>
          <bgColor rgb="FFFFEB83"/>
        </patternFill>
      </fill>
    </dxf>
    <dxf>
      <fill>
        <patternFill>
          <bgColor rgb="FFFFCB7E"/>
        </patternFill>
      </fill>
    </dxf>
    <dxf>
      <fill>
        <patternFill>
          <bgColor rgb="FFFFCB7E"/>
        </patternFill>
      </fill>
    </dxf>
    <dxf>
      <fill>
        <patternFill>
          <bgColor rgb="FFFFCB7E"/>
        </patternFill>
      </fill>
    </dxf>
    <dxf>
      <fill>
        <patternFill>
          <bgColor rgb="FFFFCB7E"/>
        </patternFill>
      </fill>
    </dxf>
    <dxf>
      <fill>
        <patternFill>
          <bgColor rgb="FFFCAB78"/>
        </patternFill>
      </fill>
    </dxf>
    <dxf>
      <fill>
        <patternFill>
          <bgColor rgb="FFFCAB78"/>
        </patternFill>
      </fill>
    </dxf>
    <dxf>
      <fill>
        <patternFill>
          <bgColor rgb="FFFCAB78"/>
        </patternFill>
      </fill>
    </dxf>
    <dxf>
      <fill>
        <patternFill>
          <bgColor rgb="FFFA8A72"/>
        </patternFill>
      </fill>
    </dxf>
    <dxf>
      <fill>
        <patternFill>
          <bgColor rgb="FFFA8A72"/>
        </patternFill>
      </fill>
    </dxf>
    <dxf>
      <fill>
        <patternFill>
          <bgColor rgb="FFF9696A"/>
        </patternFill>
      </fill>
    </dxf>
    <dxf>
      <fill>
        <patternFill>
          <bgColor rgb="FF63BE7B"/>
        </patternFill>
      </fill>
    </dxf>
    <dxf>
      <fill>
        <patternFill>
          <bgColor rgb="FF88C47B"/>
        </patternFill>
      </fill>
    </dxf>
    <dxf>
      <fill>
        <patternFill>
          <bgColor rgb="FF88C47B"/>
        </patternFill>
      </fill>
    </dxf>
    <dxf>
      <fill>
        <patternFill>
          <bgColor rgb="FFB1D480"/>
        </patternFill>
      </fill>
    </dxf>
    <dxf>
      <fill>
        <patternFill>
          <bgColor rgb="FFB1D480"/>
        </patternFill>
      </fill>
    </dxf>
    <dxf>
      <fill>
        <patternFill>
          <bgColor rgb="FFB1D480"/>
        </patternFill>
      </fill>
    </dxf>
    <dxf>
      <fill>
        <patternFill>
          <bgColor rgb="FFD8E081"/>
        </patternFill>
      </fill>
    </dxf>
    <dxf>
      <fill>
        <patternFill>
          <bgColor rgb="FFD8E081"/>
        </patternFill>
      </fill>
    </dxf>
    <dxf>
      <fill>
        <patternFill>
          <bgColor rgb="FFD8E081"/>
        </patternFill>
      </fill>
    </dxf>
    <dxf>
      <fill>
        <patternFill>
          <bgColor rgb="FFD8E081"/>
        </patternFill>
      </fill>
    </dxf>
    <dxf>
      <fill>
        <patternFill>
          <bgColor rgb="FFFFEB83"/>
        </patternFill>
      </fill>
    </dxf>
    <dxf>
      <fill>
        <patternFill>
          <bgColor rgb="FFFFEB83"/>
        </patternFill>
      </fill>
    </dxf>
    <dxf>
      <fill>
        <patternFill>
          <bgColor rgb="FFFFEB83"/>
        </patternFill>
      </fill>
    </dxf>
    <dxf>
      <fill>
        <patternFill>
          <bgColor rgb="FFFFEB83"/>
        </patternFill>
      </fill>
    </dxf>
    <dxf>
      <fill>
        <patternFill>
          <bgColor rgb="FFFFEB83"/>
        </patternFill>
      </fill>
    </dxf>
    <dxf>
      <fill>
        <patternFill>
          <bgColor rgb="FFFFCB7E"/>
        </patternFill>
      </fill>
    </dxf>
    <dxf>
      <fill>
        <patternFill>
          <bgColor rgb="FFFFCB7E"/>
        </patternFill>
      </fill>
    </dxf>
    <dxf>
      <fill>
        <patternFill>
          <bgColor rgb="FFFFCB7E"/>
        </patternFill>
      </fill>
    </dxf>
    <dxf>
      <fill>
        <patternFill>
          <bgColor rgb="FFFFCB7E"/>
        </patternFill>
      </fill>
    </dxf>
    <dxf>
      <fill>
        <patternFill>
          <bgColor rgb="FFFCAB78"/>
        </patternFill>
      </fill>
    </dxf>
    <dxf>
      <fill>
        <patternFill>
          <bgColor rgb="FFFCAB78"/>
        </patternFill>
      </fill>
    </dxf>
    <dxf>
      <fill>
        <patternFill>
          <bgColor rgb="FFFCAB78"/>
        </patternFill>
      </fill>
    </dxf>
    <dxf>
      <fill>
        <patternFill>
          <bgColor rgb="FFFA8A72"/>
        </patternFill>
      </fill>
    </dxf>
    <dxf>
      <fill>
        <patternFill>
          <bgColor rgb="FFFA8A72"/>
        </patternFill>
      </fill>
    </dxf>
    <dxf>
      <fill>
        <patternFill>
          <bgColor rgb="FFF9696A"/>
        </patternFill>
      </fill>
    </dxf>
    <dxf>
      <fill>
        <patternFill>
          <bgColor rgb="FF63BE7B"/>
        </patternFill>
      </fill>
    </dxf>
    <dxf>
      <fill>
        <patternFill>
          <bgColor rgb="FF88C47B"/>
        </patternFill>
      </fill>
    </dxf>
    <dxf>
      <fill>
        <patternFill>
          <bgColor rgb="FF88C47B"/>
        </patternFill>
      </fill>
    </dxf>
    <dxf>
      <fill>
        <patternFill>
          <bgColor rgb="FFB1D480"/>
        </patternFill>
      </fill>
    </dxf>
    <dxf>
      <fill>
        <patternFill>
          <bgColor rgb="FFB1D480"/>
        </patternFill>
      </fill>
    </dxf>
    <dxf>
      <fill>
        <patternFill>
          <bgColor rgb="FFB1D480"/>
        </patternFill>
      </fill>
    </dxf>
    <dxf>
      <fill>
        <patternFill>
          <bgColor rgb="FFD8E081"/>
        </patternFill>
      </fill>
    </dxf>
    <dxf>
      <fill>
        <patternFill>
          <bgColor rgb="FFD8E081"/>
        </patternFill>
      </fill>
    </dxf>
    <dxf>
      <fill>
        <patternFill>
          <bgColor rgb="FFD8E081"/>
        </patternFill>
      </fill>
    </dxf>
    <dxf>
      <fill>
        <patternFill>
          <bgColor rgb="FFD8E081"/>
        </patternFill>
      </fill>
    </dxf>
    <dxf>
      <fill>
        <patternFill>
          <bgColor rgb="FFFFEB83"/>
        </patternFill>
      </fill>
    </dxf>
    <dxf>
      <fill>
        <patternFill>
          <bgColor rgb="FFFFEB83"/>
        </patternFill>
      </fill>
    </dxf>
    <dxf>
      <fill>
        <patternFill>
          <bgColor rgb="FFFFEB83"/>
        </patternFill>
      </fill>
    </dxf>
    <dxf>
      <fill>
        <patternFill>
          <bgColor rgb="FFFFEB83"/>
        </patternFill>
      </fill>
    </dxf>
    <dxf>
      <fill>
        <patternFill>
          <bgColor rgb="FFFFEB83"/>
        </patternFill>
      </fill>
    </dxf>
    <dxf>
      <fill>
        <patternFill>
          <bgColor rgb="FFFFCB7E"/>
        </patternFill>
      </fill>
    </dxf>
    <dxf>
      <fill>
        <patternFill>
          <bgColor rgb="FFFFCB7E"/>
        </patternFill>
      </fill>
    </dxf>
    <dxf>
      <fill>
        <patternFill>
          <bgColor rgb="FFFFCB7E"/>
        </patternFill>
      </fill>
    </dxf>
    <dxf>
      <fill>
        <patternFill>
          <bgColor rgb="FFFFCB7E"/>
        </patternFill>
      </fill>
    </dxf>
    <dxf>
      <fill>
        <patternFill>
          <bgColor rgb="FFFCAB78"/>
        </patternFill>
      </fill>
    </dxf>
    <dxf>
      <fill>
        <patternFill>
          <bgColor rgb="FFFCAB78"/>
        </patternFill>
      </fill>
    </dxf>
    <dxf>
      <fill>
        <patternFill>
          <bgColor rgb="FFFCAB78"/>
        </patternFill>
      </fill>
    </dxf>
    <dxf>
      <fill>
        <patternFill>
          <bgColor rgb="FFFA8A72"/>
        </patternFill>
      </fill>
    </dxf>
    <dxf>
      <fill>
        <patternFill>
          <bgColor rgb="FFFA8A72"/>
        </patternFill>
      </fill>
    </dxf>
    <dxf>
      <fill>
        <patternFill>
          <bgColor rgb="FFF9696A"/>
        </patternFill>
      </fill>
    </dxf>
    <dxf>
      <fill>
        <patternFill>
          <bgColor theme="4" tint="0.79998168889431442"/>
        </patternFill>
      </fill>
    </dxf>
    <dxf>
      <font>
        <color rgb="FF9C0006"/>
      </font>
      <fill>
        <patternFill>
          <bgColor rgb="FFFFC7CE"/>
        </patternFill>
      </fill>
    </dxf>
    <dxf>
      <font>
        <color rgb="FF006100"/>
      </font>
      <fill>
        <patternFill>
          <bgColor rgb="FFC6EFCE"/>
        </patternFill>
      </fill>
    </dxf>
    <dxf>
      <font>
        <color theme="8" tint="-0.499984740745262"/>
      </font>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ont>
        <color rgb="FF63BE7B"/>
      </font>
    </dxf>
    <dxf>
      <font>
        <color rgb="FFB1D480"/>
      </font>
    </dxf>
    <dxf>
      <font>
        <color rgb="FFFFEB83"/>
      </font>
    </dxf>
    <dxf>
      <font>
        <color rgb="FFFCAB78"/>
      </font>
    </dxf>
    <dxf>
      <font>
        <color rgb="FFF9696A"/>
      </font>
    </dxf>
    <dxf>
      <font>
        <color rgb="FF63BE7B"/>
      </font>
    </dxf>
    <dxf>
      <font>
        <color rgb="FFB1D480"/>
      </font>
    </dxf>
    <dxf>
      <font>
        <color rgb="FFFFEB83"/>
      </font>
    </dxf>
    <dxf>
      <font>
        <color rgb="FFFCAB78"/>
      </font>
    </dxf>
    <dxf>
      <font>
        <color rgb="FFF9696A"/>
      </font>
    </dxf>
    <dxf>
      <font>
        <color rgb="FF63BE7B"/>
      </font>
    </dxf>
    <dxf>
      <font>
        <color rgb="FFB1D480"/>
      </font>
    </dxf>
    <dxf>
      <font>
        <color rgb="FFFFEB83"/>
      </font>
    </dxf>
    <dxf>
      <font>
        <color rgb="FFFCAB78"/>
      </font>
    </dxf>
    <dxf>
      <font>
        <color rgb="FFF9696A"/>
      </font>
    </dxf>
    <dxf>
      <font>
        <color rgb="FF63BE7B"/>
      </font>
    </dxf>
    <dxf>
      <font>
        <color rgb="FFB1D480"/>
      </font>
    </dxf>
    <dxf>
      <font>
        <color rgb="FFFFEB83"/>
      </font>
    </dxf>
    <dxf>
      <font>
        <color rgb="FFFCAB78"/>
      </font>
    </dxf>
    <dxf>
      <font>
        <color rgb="FFF9696A"/>
      </font>
    </dxf>
    <dxf>
      <fill>
        <patternFill>
          <bgColor theme="4" tint="0.79998168889431442"/>
        </patternFill>
      </fill>
    </dxf>
    <dxf>
      <font>
        <color rgb="FF9C0006"/>
      </font>
      <fill>
        <patternFill>
          <bgColor rgb="FFFFC7CE"/>
        </patternFill>
      </fill>
    </dxf>
    <dxf>
      <font>
        <color rgb="FF006100"/>
      </font>
      <fill>
        <patternFill>
          <bgColor rgb="FFC6EFCE"/>
        </patternFill>
      </fill>
    </dxf>
    <dxf>
      <font>
        <color theme="8" tint="-0.499984740745262"/>
      </font>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ont>
        <color rgb="FFFF0000"/>
      </font>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theme="4" tint="0.79998168889431442"/>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theme="4" tint="0.79998168889431442"/>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63BE7B"/>
        </patternFill>
      </fill>
    </dxf>
    <dxf>
      <fill>
        <patternFill>
          <bgColor rgb="FF88C47B"/>
        </patternFill>
      </fill>
    </dxf>
    <dxf>
      <fill>
        <patternFill>
          <bgColor rgb="FF88C47B"/>
        </patternFill>
      </fill>
    </dxf>
    <dxf>
      <fill>
        <patternFill>
          <bgColor rgb="FFB1D480"/>
        </patternFill>
      </fill>
    </dxf>
    <dxf>
      <fill>
        <patternFill>
          <bgColor rgb="FFB1D480"/>
        </patternFill>
      </fill>
    </dxf>
    <dxf>
      <fill>
        <patternFill>
          <bgColor rgb="FFB1D480"/>
        </patternFill>
      </fill>
    </dxf>
    <dxf>
      <fill>
        <patternFill>
          <bgColor rgb="FFD8E081"/>
        </patternFill>
      </fill>
    </dxf>
    <dxf>
      <fill>
        <patternFill>
          <bgColor rgb="FFD8E081"/>
        </patternFill>
      </fill>
    </dxf>
    <dxf>
      <fill>
        <patternFill>
          <bgColor rgb="FFD8E081"/>
        </patternFill>
      </fill>
    </dxf>
    <dxf>
      <fill>
        <patternFill>
          <bgColor rgb="FFD8E081"/>
        </patternFill>
      </fill>
    </dxf>
    <dxf>
      <fill>
        <patternFill>
          <bgColor rgb="FFFFEB83"/>
        </patternFill>
      </fill>
    </dxf>
    <dxf>
      <fill>
        <patternFill>
          <bgColor rgb="FFFFEB83"/>
        </patternFill>
      </fill>
    </dxf>
    <dxf>
      <fill>
        <patternFill>
          <bgColor rgb="FFFFEB83"/>
        </patternFill>
      </fill>
    </dxf>
    <dxf>
      <fill>
        <patternFill>
          <bgColor rgb="FFFFEB83"/>
        </patternFill>
      </fill>
    </dxf>
    <dxf>
      <fill>
        <patternFill>
          <bgColor rgb="FFFFEB83"/>
        </patternFill>
      </fill>
    </dxf>
    <dxf>
      <fill>
        <patternFill>
          <bgColor rgb="FFFFCB7E"/>
        </patternFill>
      </fill>
    </dxf>
    <dxf>
      <fill>
        <patternFill>
          <bgColor rgb="FFFFCB7E"/>
        </patternFill>
      </fill>
    </dxf>
    <dxf>
      <fill>
        <patternFill>
          <bgColor rgb="FFFFCB7E"/>
        </patternFill>
      </fill>
    </dxf>
    <dxf>
      <fill>
        <patternFill>
          <bgColor rgb="FFFFCB7E"/>
        </patternFill>
      </fill>
    </dxf>
    <dxf>
      <fill>
        <patternFill>
          <bgColor rgb="FFFCAB78"/>
        </patternFill>
      </fill>
    </dxf>
    <dxf>
      <fill>
        <patternFill>
          <bgColor rgb="FFFCAB78"/>
        </patternFill>
      </fill>
    </dxf>
    <dxf>
      <fill>
        <patternFill>
          <bgColor rgb="FFFCAB78"/>
        </patternFill>
      </fill>
    </dxf>
    <dxf>
      <fill>
        <patternFill>
          <bgColor rgb="FFFA8A72"/>
        </patternFill>
      </fill>
    </dxf>
    <dxf>
      <fill>
        <patternFill>
          <bgColor rgb="FFFA8A72"/>
        </patternFill>
      </fill>
    </dxf>
    <dxf>
      <fill>
        <patternFill>
          <bgColor rgb="FFF9696A"/>
        </patternFill>
      </fill>
    </dxf>
    <dxf>
      <fill>
        <patternFill>
          <bgColor rgb="FF63BE7B"/>
        </patternFill>
      </fill>
    </dxf>
    <dxf>
      <fill>
        <patternFill>
          <bgColor rgb="FF88C47B"/>
        </patternFill>
      </fill>
    </dxf>
    <dxf>
      <fill>
        <patternFill>
          <bgColor rgb="FF88C47B"/>
        </patternFill>
      </fill>
    </dxf>
    <dxf>
      <fill>
        <patternFill>
          <bgColor rgb="FFB1D480"/>
        </patternFill>
      </fill>
    </dxf>
    <dxf>
      <fill>
        <patternFill>
          <bgColor rgb="FFB1D480"/>
        </patternFill>
      </fill>
    </dxf>
    <dxf>
      <fill>
        <patternFill>
          <bgColor rgb="FFB1D480"/>
        </patternFill>
      </fill>
    </dxf>
    <dxf>
      <fill>
        <patternFill>
          <bgColor rgb="FFD8E081"/>
        </patternFill>
      </fill>
    </dxf>
    <dxf>
      <fill>
        <patternFill>
          <bgColor rgb="FFD8E081"/>
        </patternFill>
      </fill>
    </dxf>
    <dxf>
      <fill>
        <patternFill>
          <bgColor rgb="FFD8E081"/>
        </patternFill>
      </fill>
    </dxf>
    <dxf>
      <fill>
        <patternFill>
          <bgColor rgb="FFD8E081"/>
        </patternFill>
      </fill>
    </dxf>
    <dxf>
      <fill>
        <patternFill>
          <bgColor rgb="FFFFEB83"/>
        </patternFill>
      </fill>
    </dxf>
    <dxf>
      <fill>
        <patternFill>
          <bgColor rgb="FFFFEB83"/>
        </patternFill>
      </fill>
    </dxf>
    <dxf>
      <fill>
        <patternFill>
          <bgColor rgb="FFFFEB83"/>
        </patternFill>
      </fill>
    </dxf>
    <dxf>
      <fill>
        <patternFill>
          <bgColor rgb="FFFFEB83"/>
        </patternFill>
      </fill>
    </dxf>
    <dxf>
      <fill>
        <patternFill>
          <bgColor rgb="FFFFEB83"/>
        </patternFill>
      </fill>
    </dxf>
    <dxf>
      <fill>
        <patternFill>
          <bgColor rgb="FFFFCB7E"/>
        </patternFill>
      </fill>
    </dxf>
    <dxf>
      <fill>
        <patternFill>
          <bgColor rgb="FFFFCB7E"/>
        </patternFill>
      </fill>
    </dxf>
    <dxf>
      <fill>
        <patternFill>
          <bgColor rgb="FFFFCB7E"/>
        </patternFill>
      </fill>
    </dxf>
    <dxf>
      <fill>
        <patternFill>
          <bgColor rgb="FFFFCB7E"/>
        </patternFill>
      </fill>
    </dxf>
    <dxf>
      <fill>
        <patternFill>
          <bgColor rgb="FFFCAB78"/>
        </patternFill>
      </fill>
    </dxf>
    <dxf>
      <fill>
        <patternFill>
          <bgColor rgb="FFFCAB78"/>
        </patternFill>
      </fill>
    </dxf>
    <dxf>
      <fill>
        <patternFill>
          <bgColor rgb="FFFCAB78"/>
        </patternFill>
      </fill>
    </dxf>
    <dxf>
      <fill>
        <patternFill>
          <bgColor rgb="FFFA8A72"/>
        </patternFill>
      </fill>
    </dxf>
    <dxf>
      <fill>
        <patternFill>
          <bgColor rgb="FFFA8A72"/>
        </patternFill>
      </fill>
    </dxf>
    <dxf>
      <fill>
        <patternFill>
          <bgColor rgb="FFF9696A"/>
        </patternFill>
      </fill>
    </dxf>
    <dxf>
      <fill>
        <patternFill>
          <bgColor rgb="FF63BE7B"/>
        </patternFill>
      </fill>
    </dxf>
    <dxf>
      <fill>
        <patternFill>
          <bgColor rgb="FF88C47B"/>
        </patternFill>
      </fill>
    </dxf>
    <dxf>
      <fill>
        <patternFill>
          <bgColor rgb="FF88C47B"/>
        </patternFill>
      </fill>
    </dxf>
    <dxf>
      <fill>
        <patternFill>
          <bgColor rgb="FFB1D480"/>
        </patternFill>
      </fill>
    </dxf>
    <dxf>
      <fill>
        <patternFill>
          <bgColor rgb="FFB1D480"/>
        </patternFill>
      </fill>
    </dxf>
    <dxf>
      <fill>
        <patternFill>
          <bgColor rgb="FFB1D480"/>
        </patternFill>
      </fill>
    </dxf>
    <dxf>
      <fill>
        <patternFill>
          <bgColor rgb="FFD9E181"/>
        </patternFill>
      </fill>
    </dxf>
    <dxf>
      <fill>
        <patternFill>
          <bgColor rgb="FFD9E181"/>
        </patternFill>
      </fill>
    </dxf>
    <dxf>
      <fill>
        <patternFill>
          <bgColor rgb="FFD9E181"/>
        </patternFill>
      </fill>
    </dxf>
    <dxf>
      <fill>
        <patternFill>
          <bgColor rgb="FFD9E181"/>
        </patternFill>
      </fill>
    </dxf>
    <dxf>
      <fill>
        <patternFill>
          <bgColor rgb="FFFFEC83"/>
        </patternFill>
      </fill>
    </dxf>
    <dxf>
      <fill>
        <patternFill>
          <bgColor rgb="FFFFEC83"/>
        </patternFill>
      </fill>
    </dxf>
    <dxf>
      <fill>
        <patternFill>
          <bgColor rgb="FFFFEC83"/>
        </patternFill>
      </fill>
    </dxf>
    <dxf>
      <fill>
        <patternFill>
          <bgColor rgb="FFFFEC83"/>
        </patternFill>
      </fill>
    </dxf>
    <dxf>
      <fill>
        <patternFill>
          <bgColor rgb="FFFFEC83"/>
        </patternFill>
      </fill>
    </dxf>
    <dxf>
      <fill>
        <patternFill>
          <bgColor rgb="FFFFCB7E"/>
        </patternFill>
      </fill>
    </dxf>
    <dxf>
      <fill>
        <patternFill>
          <bgColor rgb="FFFFCB7E"/>
        </patternFill>
      </fill>
    </dxf>
    <dxf>
      <fill>
        <patternFill>
          <bgColor rgb="FFFFCB7E"/>
        </patternFill>
      </fill>
    </dxf>
    <dxf>
      <fill>
        <patternFill>
          <bgColor rgb="FFFFCB7E"/>
        </patternFill>
      </fill>
    </dxf>
    <dxf>
      <fill>
        <patternFill>
          <bgColor rgb="FFFCAB78"/>
        </patternFill>
      </fill>
    </dxf>
    <dxf>
      <fill>
        <patternFill>
          <bgColor rgb="FFFCAB78"/>
        </patternFill>
      </fill>
    </dxf>
    <dxf>
      <fill>
        <patternFill>
          <bgColor rgb="FFFCAB78"/>
        </patternFill>
      </fill>
    </dxf>
    <dxf>
      <fill>
        <patternFill>
          <bgColor rgb="FFFA8A72"/>
        </patternFill>
      </fill>
    </dxf>
    <dxf>
      <fill>
        <patternFill>
          <bgColor rgb="FFFA8A72"/>
        </patternFill>
      </fill>
    </dxf>
    <dxf>
      <fill>
        <patternFill>
          <bgColor rgb="FFFA696A"/>
        </patternFill>
      </fill>
    </dxf>
    <dxf>
      <fill>
        <patternFill>
          <bgColor rgb="FF88C47B"/>
        </patternFill>
      </fill>
    </dxf>
    <dxf>
      <fill>
        <patternFill>
          <bgColor rgb="FF88C47B"/>
        </patternFill>
      </fill>
    </dxf>
    <dxf>
      <fill>
        <patternFill>
          <bgColor rgb="FFB1D480"/>
        </patternFill>
      </fill>
    </dxf>
    <dxf>
      <fill>
        <patternFill>
          <bgColor rgb="FFB1D480"/>
        </patternFill>
      </fill>
    </dxf>
    <dxf>
      <fill>
        <patternFill>
          <bgColor rgb="FFB1D480"/>
        </patternFill>
      </fill>
    </dxf>
    <dxf>
      <fill>
        <patternFill>
          <bgColor rgb="FFD9E181"/>
        </patternFill>
      </fill>
    </dxf>
    <dxf>
      <fill>
        <patternFill>
          <bgColor rgb="FFD9E181"/>
        </patternFill>
      </fill>
    </dxf>
    <dxf>
      <fill>
        <patternFill>
          <bgColor rgb="FFD9E181"/>
        </patternFill>
      </fill>
    </dxf>
    <dxf>
      <fill>
        <patternFill>
          <bgColor rgb="FFD9E181"/>
        </patternFill>
      </fill>
    </dxf>
    <dxf>
      <fill>
        <patternFill>
          <bgColor rgb="FFFFEC83"/>
        </patternFill>
      </fill>
    </dxf>
    <dxf>
      <fill>
        <patternFill>
          <bgColor rgb="FFFFEC83"/>
        </patternFill>
      </fill>
    </dxf>
    <dxf>
      <fill>
        <patternFill>
          <bgColor rgb="FFFFEC83"/>
        </patternFill>
      </fill>
    </dxf>
    <dxf>
      <fill>
        <patternFill>
          <bgColor rgb="FFFFEC83"/>
        </patternFill>
      </fill>
    </dxf>
    <dxf>
      <fill>
        <patternFill>
          <bgColor rgb="FFFFEC83"/>
        </patternFill>
      </fill>
    </dxf>
    <dxf>
      <fill>
        <patternFill>
          <bgColor rgb="FFFFCB7E"/>
        </patternFill>
      </fill>
    </dxf>
    <dxf>
      <fill>
        <patternFill>
          <bgColor rgb="FFFFCB7E"/>
        </patternFill>
      </fill>
    </dxf>
    <dxf>
      <fill>
        <patternFill>
          <bgColor rgb="FFFFCB7E"/>
        </patternFill>
      </fill>
    </dxf>
    <dxf>
      <fill>
        <patternFill>
          <bgColor rgb="FFFFCB7E"/>
        </patternFill>
      </fill>
    </dxf>
    <dxf>
      <fill>
        <patternFill>
          <bgColor rgb="FFFCAB78"/>
        </patternFill>
      </fill>
    </dxf>
    <dxf>
      <fill>
        <patternFill>
          <bgColor rgb="FFFCAB78"/>
        </patternFill>
      </fill>
    </dxf>
    <dxf>
      <fill>
        <patternFill>
          <bgColor rgb="FFFCAB78"/>
        </patternFill>
      </fill>
    </dxf>
    <dxf>
      <fill>
        <patternFill>
          <bgColor rgb="FFFA8A72"/>
        </patternFill>
      </fill>
    </dxf>
    <dxf>
      <fill>
        <patternFill>
          <bgColor rgb="FFFA8A72"/>
        </patternFill>
      </fill>
    </dxf>
    <dxf>
      <fill>
        <patternFill>
          <bgColor rgb="FFFA696A"/>
        </patternFill>
      </fill>
    </dxf>
    <dxf>
      <font>
        <color rgb="FF63BE7B"/>
      </font>
    </dxf>
    <dxf>
      <font>
        <color rgb="FFB1D480"/>
      </font>
    </dxf>
    <dxf>
      <font>
        <color rgb="FFFFEB83"/>
      </font>
    </dxf>
    <dxf>
      <font>
        <color rgb="FFFCAB78"/>
      </font>
    </dxf>
    <dxf>
      <font>
        <color rgb="FFF9696A"/>
      </font>
    </dxf>
    <dxf>
      <font>
        <color rgb="FF63BE7B"/>
      </font>
    </dxf>
    <dxf>
      <font>
        <color rgb="FFB1D480"/>
      </font>
    </dxf>
    <dxf>
      <font>
        <color rgb="FFFFEB83"/>
      </font>
    </dxf>
    <dxf>
      <font>
        <color rgb="FFFCAB78"/>
      </font>
    </dxf>
    <dxf>
      <font>
        <color rgb="FFF9696A"/>
      </font>
    </dxf>
    <dxf>
      <fill>
        <patternFill>
          <bgColor rgb="FF63BE7B"/>
        </patternFill>
      </fill>
    </dxf>
    <dxf>
      <font>
        <color rgb="FF006100"/>
      </font>
      <fill>
        <patternFill>
          <bgColor rgb="FFC6EFCE"/>
        </patternFill>
      </fill>
    </dxf>
    <dxf>
      <font>
        <color rgb="FF9C0006"/>
      </font>
      <fill>
        <patternFill>
          <bgColor rgb="FFFFC7CE"/>
        </patternFill>
      </fill>
    </dxf>
    <dxf>
      <font>
        <color theme="8" tint="-0.499984740745262"/>
      </font>
      <fill>
        <patternFill>
          <bgColor theme="4" tint="0.79998168889431442"/>
        </patternFill>
      </fill>
    </dxf>
    <dxf>
      <font>
        <b/>
        <i val="0"/>
        <color theme="1"/>
      </font>
    </dxf>
    <dxf>
      <font>
        <b/>
        <i val="0"/>
        <color theme="1"/>
      </font>
    </dxf>
    <dxf>
      <fill>
        <patternFill>
          <bgColor theme="4" tint="0.79998168889431442"/>
        </patternFill>
      </fill>
    </dxf>
    <dxf>
      <fill>
        <patternFill>
          <bgColor rgb="FF63BE7B"/>
        </patternFill>
      </fill>
    </dxf>
    <dxf>
      <fill>
        <patternFill>
          <bgColor rgb="FF88C47B"/>
        </patternFill>
      </fill>
    </dxf>
    <dxf>
      <fill>
        <patternFill>
          <bgColor rgb="FF88C47B"/>
        </patternFill>
      </fill>
    </dxf>
    <dxf>
      <fill>
        <patternFill>
          <bgColor rgb="FFB1D480"/>
        </patternFill>
      </fill>
    </dxf>
    <dxf>
      <fill>
        <patternFill>
          <bgColor rgb="FFB1D480"/>
        </patternFill>
      </fill>
    </dxf>
    <dxf>
      <fill>
        <patternFill>
          <bgColor rgb="FFB1D480"/>
        </patternFill>
      </fill>
    </dxf>
    <dxf>
      <fill>
        <patternFill>
          <bgColor rgb="FFD9E181"/>
        </patternFill>
      </fill>
    </dxf>
    <dxf>
      <fill>
        <patternFill>
          <bgColor rgb="FFD9E181"/>
        </patternFill>
      </fill>
    </dxf>
    <dxf>
      <fill>
        <patternFill>
          <bgColor rgb="FFD9E181"/>
        </patternFill>
      </fill>
    </dxf>
    <dxf>
      <fill>
        <patternFill>
          <bgColor rgb="FFD9E181"/>
        </patternFill>
      </fill>
    </dxf>
    <dxf>
      <fill>
        <patternFill>
          <bgColor rgb="FFFFEC83"/>
        </patternFill>
      </fill>
    </dxf>
    <dxf>
      <fill>
        <patternFill>
          <bgColor rgb="FFFFEC83"/>
        </patternFill>
      </fill>
    </dxf>
    <dxf>
      <fill>
        <patternFill>
          <bgColor rgb="FFFFEC83"/>
        </patternFill>
      </fill>
    </dxf>
    <dxf>
      <fill>
        <patternFill>
          <bgColor rgb="FFFFEC83"/>
        </patternFill>
      </fill>
    </dxf>
    <dxf>
      <fill>
        <patternFill>
          <bgColor rgb="FFFFEC83"/>
        </patternFill>
      </fill>
    </dxf>
    <dxf>
      <fill>
        <patternFill>
          <bgColor rgb="FFFFCB7E"/>
        </patternFill>
      </fill>
    </dxf>
    <dxf>
      <fill>
        <patternFill>
          <bgColor rgb="FFFFCB7E"/>
        </patternFill>
      </fill>
    </dxf>
    <dxf>
      <fill>
        <patternFill>
          <bgColor rgb="FFFFCB7E"/>
        </patternFill>
      </fill>
    </dxf>
    <dxf>
      <fill>
        <patternFill>
          <bgColor rgb="FFFFCB7E"/>
        </patternFill>
      </fill>
    </dxf>
    <dxf>
      <fill>
        <patternFill>
          <bgColor rgb="FFFCAB78"/>
        </patternFill>
      </fill>
    </dxf>
    <dxf>
      <fill>
        <patternFill>
          <bgColor rgb="FFFCAB78"/>
        </patternFill>
      </fill>
    </dxf>
    <dxf>
      <fill>
        <patternFill>
          <bgColor rgb="FFFCAB78"/>
        </patternFill>
      </fill>
    </dxf>
    <dxf>
      <fill>
        <patternFill>
          <bgColor rgb="FFFA8A72"/>
        </patternFill>
      </fill>
    </dxf>
    <dxf>
      <fill>
        <patternFill>
          <bgColor rgb="FFFA8A72"/>
        </patternFill>
      </fill>
    </dxf>
    <dxf>
      <fill>
        <patternFill>
          <bgColor rgb="FFFA696A"/>
        </patternFill>
      </fill>
    </dxf>
    <dxf>
      <fill>
        <patternFill>
          <bgColor rgb="FF88C47B"/>
        </patternFill>
      </fill>
    </dxf>
    <dxf>
      <fill>
        <patternFill>
          <bgColor rgb="FF88C47B"/>
        </patternFill>
      </fill>
    </dxf>
    <dxf>
      <fill>
        <patternFill>
          <bgColor rgb="FFB1D480"/>
        </patternFill>
      </fill>
    </dxf>
    <dxf>
      <fill>
        <patternFill>
          <bgColor rgb="FFB1D480"/>
        </patternFill>
      </fill>
    </dxf>
    <dxf>
      <fill>
        <patternFill>
          <bgColor rgb="FFB1D480"/>
        </patternFill>
      </fill>
    </dxf>
    <dxf>
      <fill>
        <patternFill>
          <bgColor rgb="FFD9E181"/>
        </patternFill>
      </fill>
    </dxf>
    <dxf>
      <fill>
        <patternFill>
          <bgColor rgb="FFD9E181"/>
        </patternFill>
      </fill>
    </dxf>
    <dxf>
      <fill>
        <patternFill>
          <bgColor rgb="FFD9E181"/>
        </patternFill>
      </fill>
    </dxf>
    <dxf>
      <fill>
        <patternFill>
          <bgColor rgb="FFD9E181"/>
        </patternFill>
      </fill>
    </dxf>
    <dxf>
      <fill>
        <patternFill>
          <bgColor rgb="FFFFEC83"/>
        </patternFill>
      </fill>
    </dxf>
    <dxf>
      <fill>
        <patternFill>
          <bgColor rgb="FFFFEC83"/>
        </patternFill>
      </fill>
    </dxf>
    <dxf>
      <fill>
        <patternFill>
          <bgColor rgb="FFFFEC83"/>
        </patternFill>
      </fill>
    </dxf>
    <dxf>
      <fill>
        <patternFill>
          <bgColor rgb="FFFFEC83"/>
        </patternFill>
      </fill>
    </dxf>
    <dxf>
      <fill>
        <patternFill>
          <bgColor rgb="FFFFEC83"/>
        </patternFill>
      </fill>
    </dxf>
    <dxf>
      <fill>
        <patternFill>
          <bgColor rgb="FFFFCB7E"/>
        </patternFill>
      </fill>
    </dxf>
    <dxf>
      <fill>
        <patternFill>
          <bgColor rgb="FFFFCB7E"/>
        </patternFill>
      </fill>
    </dxf>
    <dxf>
      <fill>
        <patternFill>
          <bgColor rgb="FFFFCB7E"/>
        </patternFill>
      </fill>
    </dxf>
    <dxf>
      <fill>
        <patternFill>
          <bgColor rgb="FFFFCB7E"/>
        </patternFill>
      </fill>
    </dxf>
    <dxf>
      <fill>
        <patternFill>
          <bgColor rgb="FFFCAB78"/>
        </patternFill>
      </fill>
    </dxf>
    <dxf>
      <fill>
        <patternFill>
          <bgColor rgb="FFFCAB78"/>
        </patternFill>
      </fill>
    </dxf>
    <dxf>
      <fill>
        <patternFill>
          <bgColor rgb="FFFCAB78"/>
        </patternFill>
      </fill>
    </dxf>
    <dxf>
      <fill>
        <patternFill>
          <bgColor rgb="FFFA8A72"/>
        </patternFill>
      </fill>
    </dxf>
    <dxf>
      <fill>
        <patternFill>
          <bgColor rgb="FFFA8A72"/>
        </patternFill>
      </fill>
    </dxf>
    <dxf>
      <fill>
        <patternFill>
          <bgColor rgb="FFFA696A"/>
        </patternFill>
      </fill>
    </dxf>
    <dxf>
      <fill>
        <patternFill>
          <bgColor theme="8" tint="0.79998168889431442"/>
        </patternFill>
      </fill>
    </dxf>
    <dxf>
      <fill>
        <patternFill>
          <bgColor theme="8" tint="0.79998168889431442"/>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FF0000"/>
      </font>
    </dxf>
    <dxf>
      <font>
        <color rgb="FFFF0000"/>
      </font>
    </dxf>
    <dxf>
      <font>
        <color rgb="FF9C0006"/>
      </font>
      <fill>
        <patternFill>
          <bgColor rgb="FFFFC7CE"/>
        </patternFill>
      </fill>
    </dxf>
    <dxf>
      <font>
        <color rgb="FFFF0000"/>
      </font>
    </dxf>
    <dxf>
      <font>
        <color rgb="FF9C0006"/>
      </font>
      <fill>
        <patternFill>
          <bgColor rgb="FFFFC7CE"/>
        </patternFill>
      </fill>
    </dxf>
    <dxf>
      <font>
        <color rgb="FFFF0000"/>
      </font>
    </dxf>
    <dxf>
      <font>
        <color rgb="FF9C0006"/>
      </font>
      <fill>
        <patternFill>
          <bgColor rgb="FFFFC7CE"/>
        </patternFill>
      </fill>
    </dxf>
    <dxf>
      <fill>
        <patternFill>
          <bgColor theme="4" tint="0.79998168889431442"/>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ont>
        <color theme="4" tint="-0.499984740745262"/>
      </font>
      <fill>
        <patternFill>
          <bgColor theme="4" tint="0.79998168889431442"/>
        </patternFill>
      </fill>
    </dxf>
    <dxf>
      <fill>
        <patternFill>
          <bgColor theme="4" tint="0.79998168889431442"/>
        </patternFill>
      </fill>
    </dxf>
    <dxf>
      <font>
        <b/>
        <i val="0"/>
        <color rgb="FFC00000"/>
      </font>
    </dxf>
    <dxf>
      <font>
        <b/>
        <i val="0"/>
        <color theme="9" tint="-0.499984740745262"/>
      </font>
    </dxf>
    <dxf>
      <fill>
        <patternFill>
          <bgColor theme="4" tint="0.79998168889431442"/>
        </patternFill>
      </fill>
    </dxf>
    <dxf>
      <fill>
        <patternFill>
          <bgColor rgb="FF63BE7B"/>
        </patternFill>
      </fill>
    </dxf>
    <dxf>
      <fill>
        <patternFill>
          <bgColor rgb="FF88C47B"/>
        </patternFill>
      </fill>
    </dxf>
    <dxf>
      <fill>
        <patternFill>
          <bgColor rgb="FF88C47B"/>
        </patternFill>
      </fill>
    </dxf>
    <dxf>
      <fill>
        <patternFill>
          <bgColor rgb="FFB1D480"/>
        </patternFill>
      </fill>
    </dxf>
    <dxf>
      <fill>
        <patternFill>
          <bgColor rgb="FFB1D480"/>
        </patternFill>
      </fill>
    </dxf>
    <dxf>
      <fill>
        <patternFill>
          <bgColor rgb="FFB1D480"/>
        </patternFill>
      </fill>
    </dxf>
    <dxf>
      <fill>
        <patternFill>
          <bgColor rgb="FFD8E081"/>
        </patternFill>
      </fill>
    </dxf>
    <dxf>
      <fill>
        <patternFill>
          <bgColor rgb="FFD8E081"/>
        </patternFill>
      </fill>
    </dxf>
    <dxf>
      <fill>
        <patternFill>
          <bgColor rgb="FFD8E081"/>
        </patternFill>
      </fill>
    </dxf>
    <dxf>
      <fill>
        <patternFill>
          <bgColor rgb="FFD8E081"/>
        </patternFill>
      </fill>
    </dxf>
    <dxf>
      <fill>
        <patternFill>
          <bgColor rgb="FFFFEB83"/>
        </patternFill>
      </fill>
    </dxf>
    <dxf>
      <fill>
        <patternFill>
          <bgColor rgb="FFFFEB83"/>
        </patternFill>
      </fill>
    </dxf>
    <dxf>
      <fill>
        <patternFill>
          <bgColor rgb="FFFFEB83"/>
        </patternFill>
      </fill>
    </dxf>
    <dxf>
      <fill>
        <patternFill>
          <bgColor rgb="FFFFEB83"/>
        </patternFill>
      </fill>
    </dxf>
    <dxf>
      <fill>
        <patternFill>
          <bgColor rgb="FFFFEB83"/>
        </patternFill>
      </fill>
    </dxf>
    <dxf>
      <fill>
        <patternFill>
          <bgColor rgb="FFFFCB7E"/>
        </patternFill>
      </fill>
    </dxf>
    <dxf>
      <fill>
        <patternFill>
          <bgColor rgb="FFFFCB7E"/>
        </patternFill>
      </fill>
    </dxf>
    <dxf>
      <fill>
        <patternFill>
          <bgColor rgb="FFFFCB7E"/>
        </patternFill>
      </fill>
    </dxf>
    <dxf>
      <fill>
        <patternFill>
          <bgColor rgb="FFFFCB7E"/>
        </patternFill>
      </fill>
    </dxf>
    <dxf>
      <fill>
        <patternFill>
          <bgColor rgb="FFFCAB78"/>
        </patternFill>
      </fill>
    </dxf>
    <dxf>
      <fill>
        <patternFill>
          <bgColor rgb="FFFCAB78"/>
        </patternFill>
      </fill>
    </dxf>
    <dxf>
      <fill>
        <patternFill>
          <bgColor rgb="FFFCAB78"/>
        </patternFill>
      </fill>
    </dxf>
    <dxf>
      <fill>
        <patternFill>
          <bgColor rgb="FFFA8A72"/>
        </patternFill>
      </fill>
    </dxf>
    <dxf>
      <fill>
        <patternFill>
          <bgColor rgb="FFFA8A72"/>
        </patternFill>
      </fill>
    </dxf>
    <dxf>
      <fill>
        <patternFill>
          <bgColor rgb="FFF9696A"/>
        </patternFill>
      </fill>
    </dxf>
    <dxf>
      <font>
        <color rgb="FF006100"/>
      </font>
      <fill>
        <patternFill>
          <bgColor rgb="FFC6EFCE"/>
        </patternFill>
      </fill>
    </dxf>
    <dxf>
      <font>
        <color rgb="FF9C0006"/>
      </font>
      <fill>
        <patternFill>
          <bgColor rgb="FFFFC7CE"/>
        </patternFill>
      </fill>
    </dxf>
    <dxf>
      <font>
        <color theme="8" tint="-0.499984740745262"/>
      </font>
      <fill>
        <patternFill>
          <bgColor theme="4" tint="0.79998168889431442"/>
        </patternFill>
      </fill>
    </dxf>
    <dxf>
      <font>
        <b/>
        <i val="0"/>
        <color rgb="FFC00000"/>
      </font>
    </dxf>
    <dxf>
      <font>
        <b/>
        <i val="0"/>
        <color theme="9" tint="-0.499984740745262"/>
      </font>
    </dxf>
    <dxf>
      <fill>
        <patternFill>
          <bgColor theme="4" tint="0.79998168889431442"/>
        </patternFill>
      </fill>
    </dxf>
    <dxf>
      <fill>
        <patternFill>
          <bgColor theme="4" tint="0.79998168889431442"/>
        </patternFill>
      </fill>
    </dxf>
    <dxf>
      <font>
        <color rgb="FF9C0006"/>
      </font>
      <fill>
        <patternFill>
          <bgColor rgb="FFFFC7CE"/>
        </patternFill>
      </fill>
    </dxf>
    <dxf>
      <font>
        <b/>
        <i val="0"/>
        <color rgb="FFC00000"/>
      </font>
    </dxf>
    <dxf>
      <fill>
        <patternFill>
          <bgColor theme="4" tint="0.79998168889431442"/>
        </patternFill>
      </fill>
    </dxf>
    <dxf>
      <font>
        <color theme="4" tint="-0.499984740745262"/>
      </font>
      <fill>
        <patternFill>
          <bgColor theme="4" tint="0.79998168889431442"/>
        </patternFill>
      </fill>
    </dxf>
    <dxf>
      <fill>
        <patternFill>
          <bgColor theme="4" tint="0.79998168889431442"/>
        </patternFill>
      </fill>
    </dxf>
    <dxf>
      <font>
        <b/>
        <i val="0"/>
        <color rgb="FFC00000"/>
      </font>
    </dxf>
    <dxf>
      <font>
        <b/>
        <i val="0"/>
        <color theme="9" tint="-0.499984740745262"/>
      </font>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63BE7B"/>
        </patternFill>
      </fill>
    </dxf>
    <dxf>
      <fill>
        <patternFill>
          <bgColor rgb="FF88C47B"/>
        </patternFill>
      </fill>
    </dxf>
    <dxf>
      <fill>
        <patternFill>
          <bgColor rgb="FF88C47B"/>
        </patternFill>
      </fill>
    </dxf>
    <dxf>
      <fill>
        <patternFill>
          <bgColor rgb="FFB1D480"/>
        </patternFill>
      </fill>
    </dxf>
    <dxf>
      <fill>
        <patternFill>
          <bgColor rgb="FFB1D480"/>
        </patternFill>
      </fill>
    </dxf>
    <dxf>
      <fill>
        <patternFill>
          <bgColor rgb="FFB1D480"/>
        </patternFill>
      </fill>
    </dxf>
    <dxf>
      <fill>
        <patternFill>
          <bgColor rgb="FFD8E081"/>
        </patternFill>
      </fill>
    </dxf>
    <dxf>
      <fill>
        <patternFill>
          <bgColor rgb="FFD8E081"/>
        </patternFill>
      </fill>
    </dxf>
    <dxf>
      <fill>
        <patternFill>
          <bgColor rgb="FFD8E081"/>
        </patternFill>
      </fill>
    </dxf>
    <dxf>
      <fill>
        <patternFill>
          <bgColor rgb="FFD8E081"/>
        </patternFill>
      </fill>
    </dxf>
    <dxf>
      <fill>
        <patternFill>
          <bgColor rgb="FFFFEB83"/>
        </patternFill>
      </fill>
    </dxf>
    <dxf>
      <fill>
        <patternFill>
          <bgColor rgb="FFFFEB83"/>
        </patternFill>
      </fill>
    </dxf>
    <dxf>
      <fill>
        <patternFill>
          <bgColor rgb="FFFFEB83"/>
        </patternFill>
      </fill>
    </dxf>
    <dxf>
      <fill>
        <patternFill>
          <bgColor rgb="FFFFEB83"/>
        </patternFill>
      </fill>
    </dxf>
    <dxf>
      <fill>
        <patternFill>
          <bgColor rgb="FFFFEB83"/>
        </patternFill>
      </fill>
    </dxf>
    <dxf>
      <fill>
        <patternFill>
          <bgColor rgb="FFFFCB7E"/>
        </patternFill>
      </fill>
    </dxf>
    <dxf>
      <fill>
        <patternFill>
          <bgColor rgb="FFFFCB7E"/>
        </patternFill>
      </fill>
    </dxf>
    <dxf>
      <fill>
        <patternFill>
          <bgColor rgb="FFFFCB7E"/>
        </patternFill>
      </fill>
    </dxf>
    <dxf>
      <fill>
        <patternFill>
          <bgColor rgb="FFFFCB7E"/>
        </patternFill>
      </fill>
    </dxf>
    <dxf>
      <fill>
        <patternFill>
          <bgColor rgb="FFFCAB78"/>
        </patternFill>
      </fill>
    </dxf>
    <dxf>
      <fill>
        <patternFill>
          <bgColor rgb="FFFCAB78"/>
        </patternFill>
      </fill>
    </dxf>
    <dxf>
      <fill>
        <patternFill>
          <bgColor rgb="FFFCAB78"/>
        </patternFill>
      </fill>
    </dxf>
    <dxf>
      <fill>
        <patternFill>
          <bgColor rgb="FFFA8A72"/>
        </patternFill>
      </fill>
    </dxf>
    <dxf>
      <fill>
        <patternFill>
          <bgColor rgb="FFFA8A72"/>
        </patternFill>
      </fill>
    </dxf>
    <dxf>
      <fill>
        <patternFill>
          <bgColor rgb="FFF9696A"/>
        </patternFill>
      </fill>
    </dxf>
    <dxf>
      <fill>
        <patternFill>
          <bgColor rgb="FF63BE7B"/>
        </patternFill>
      </fill>
    </dxf>
    <dxf>
      <fill>
        <patternFill>
          <bgColor rgb="FF88C47B"/>
        </patternFill>
      </fill>
    </dxf>
    <dxf>
      <fill>
        <patternFill>
          <bgColor rgb="FF88C47B"/>
        </patternFill>
      </fill>
    </dxf>
    <dxf>
      <fill>
        <patternFill>
          <bgColor rgb="FFB1D480"/>
        </patternFill>
      </fill>
    </dxf>
    <dxf>
      <fill>
        <patternFill>
          <bgColor rgb="FFB1D480"/>
        </patternFill>
      </fill>
    </dxf>
    <dxf>
      <fill>
        <patternFill>
          <bgColor rgb="FFB1D480"/>
        </patternFill>
      </fill>
    </dxf>
    <dxf>
      <fill>
        <patternFill>
          <bgColor rgb="FFD8E081"/>
        </patternFill>
      </fill>
    </dxf>
    <dxf>
      <fill>
        <patternFill>
          <bgColor rgb="FFD8E081"/>
        </patternFill>
      </fill>
    </dxf>
    <dxf>
      <fill>
        <patternFill>
          <bgColor rgb="FFD8E081"/>
        </patternFill>
      </fill>
    </dxf>
    <dxf>
      <fill>
        <patternFill>
          <bgColor rgb="FFD8E081"/>
        </patternFill>
      </fill>
    </dxf>
    <dxf>
      <fill>
        <patternFill>
          <bgColor rgb="FFFFEB83"/>
        </patternFill>
      </fill>
    </dxf>
    <dxf>
      <fill>
        <patternFill>
          <bgColor rgb="FFFFEB83"/>
        </patternFill>
      </fill>
    </dxf>
    <dxf>
      <fill>
        <patternFill>
          <bgColor rgb="FFFFEB83"/>
        </patternFill>
      </fill>
    </dxf>
    <dxf>
      <fill>
        <patternFill>
          <bgColor rgb="FFFFEB83"/>
        </patternFill>
      </fill>
    </dxf>
    <dxf>
      <fill>
        <patternFill>
          <bgColor rgb="FFFFEB83"/>
        </patternFill>
      </fill>
    </dxf>
    <dxf>
      <fill>
        <patternFill>
          <bgColor rgb="FFFFCB7E"/>
        </patternFill>
      </fill>
    </dxf>
    <dxf>
      <fill>
        <patternFill>
          <bgColor rgb="FFFFCB7E"/>
        </patternFill>
      </fill>
    </dxf>
    <dxf>
      <fill>
        <patternFill>
          <bgColor rgb="FFFFCB7E"/>
        </patternFill>
      </fill>
    </dxf>
    <dxf>
      <fill>
        <patternFill>
          <bgColor rgb="FFFFCB7E"/>
        </patternFill>
      </fill>
    </dxf>
    <dxf>
      <fill>
        <patternFill>
          <bgColor rgb="FFFCAB78"/>
        </patternFill>
      </fill>
    </dxf>
    <dxf>
      <fill>
        <patternFill>
          <bgColor rgb="FFFCAB78"/>
        </patternFill>
      </fill>
    </dxf>
    <dxf>
      <fill>
        <patternFill>
          <bgColor rgb="FFFCAB78"/>
        </patternFill>
      </fill>
    </dxf>
    <dxf>
      <fill>
        <patternFill>
          <bgColor rgb="FFFA8A72"/>
        </patternFill>
      </fill>
    </dxf>
    <dxf>
      <fill>
        <patternFill>
          <bgColor rgb="FFFA8A72"/>
        </patternFill>
      </fill>
    </dxf>
    <dxf>
      <fill>
        <patternFill>
          <bgColor rgb="FFF9696A"/>
        </patternFill>
      </fill>
    </dxf>
    <dxf>
      <fill>
        <patternFill>
          <bgColor rgb="FF63BE7B"/>
        </patternFill>
      </fill>
    </dxf>
    <dxf>
      <fill>
        <patternFill>
          <bgColor rgb="FF88C47B"/>
        </patternFill>
      </fill>
    </dxf>
    <dxf>
      <fill>
        <patternFill>
          <bgColor rgb="FF88C47B"/>
        </patternFill>
      </fill>
    </dxf>
    <dxf>
      <fill>
        <patternFill>
          <bgColor rgb="FFB1D480"/>
        </patternFill>
      </fill>
    </dxf>
    <dxf>
      <fill>
        <patternFill>
          <bgColor rgb="FFB1D480"/>
        </patternFill>
      </fill>
    </dxf>
    <dxf>
      <fill>
        <patternFill>
          <bgColor rgb="FFB1D480"/>
        </patternFill>
      </fill>
    </dxf>
    <dxf>
      <fill>
        <patternFill>
          <bgColor rgb="FFD8E081"/>
        </patternFill>
      </fill>
    </dxf>
    <dxf>
      <fill>
        <patternFill>
          <bgColor rgb="FFD8E081"/>
        </patternFill>
      </fill>
    </dxf>
    <dxf>
      <fill>
        <patternFill>
          <bgColor rgb="FFD8E081"/>
        </patternFill>
      </fill>
    </dxf>
    <dxf>
      <fill>
        <patternFill>
          <bgColor rgb="FFD8E081"/>
        </patternFill>
      </fill>
    </dxf>
    <dxf>
      <fill>
        <patternFill>
          <bgColor rgb="FFFFEB83"/>
        </patternFill>
      </fill>
    </dxf>
    <dxf>
      <fill>
        <patternFill>
          <bgColor rgb="FFFFEB83"/>
        </patternFill>
      </fill>
    </dxf>
    <dxf>
      <fill>
        <patternFill>
          <bgColor rgb="FFFFEB83"/>
        </patternFill>
      </fill>
    </dxf>
    <dxf>
      <fill>
        <patternFill>
          <bgColor rgb="FFFFEB83"/>
        </patternFill>
      </fill>
    </dxf>
    <dxf>
      <fill>
        <patternFill>
          <bgColor rgb="FFFFEB83"/>
        </patternFill>
      </fill>
    </dxf>
    <dxf>
      <fill>
        <patternFill>
          <bgColor rgb="FFFFCB7E"/>
        </patternFill>
      </fill>
    </dxf>
    <dxf>
      <fill>
        <patternFill>
          <bgColor rgb="FFFFCB7E"/>
        </patternFill>
      </fill>
    </dxf>
    <dxf>
      <fill>
        <patternFill>
          <bgColor rgb="FFFFCB7E"/>
        </patternFill>
      </fill>
    </dxf>
    <dxf>
      <fill>
        <patternFill>
          <bgColor rgb="FFFFCB7E"/>
        </patternFill>
      </fill>
    </dxf>
    <dxf>
      <fill>
        <patternFill>
          <bgColor rgb="FFFCAB78"/>
        </patternFill>
      </fill>
    </dxf>
    <dxf>
      <fill>
        <patternFill>
          <bgColor rgb="FFFCAB78"/>
        </patternFill>
      </fill>
    </dxf>
    <dxf>
      <fill>
        <patternFill>
          <bgColor rgb="FFFCAB78"/>
        </patternFill>
      </fill>
    </dxf>
    <dxf>
      <fill>
        <patternFill>
          <bgColor rgb="FFFA8A72"/>
        </patternFill>
      </fill>
    </dxf>
    <dxf>
      <fill>
        <patternFill>
          <bgColor rgb="FFFA8A72"/>
        </patternFill>
      </fill>
    </dxf>
    <dxf>
      <fill>
        <patternFill>
          <bgColor rgb="FFF9696A"/>
        </patternFill>
      </fill>
    </dxf>
    <dxf>
      <fill>
        <patternFill>
          <bgColor rgb="FF63BE7B"/>
        </patternFill>
      </fill>
    </dxf>
    <dxf>
      <fill>
        <patternFill>
          <bgColor rgb="FF88C47B"/>
        </patternFill>
      </fill>
    </dxf>
    <dxf>
      <fill>
        <patternFill>
          <bgColor rgb="FF88C47B"/>
        </patternFill>
      </fill>
    </dxf>
    <dxf>
      <fill>
        <patternFill>
          <bgColor rgb="FFB1D480"/>
        </patternFill>
      </fill>
    </dxf>
    <dxf>
      <fill>
        <patternFill>
          <bgColor rgb="FFB1D480"/>
        </patternFill>
      </fill>
    </dxf>
    <dxf>
      <fill>
        <patternFill>
          <bgColor rgb="FFB1D480"/>
        </patternFill>
      </fill>
    </dxf>
    <dxf>
      <fill>
        <patternFill>
          <bgColor rgb="FFD8E081"/>
        </patternFill>
      </fill>
    </dxf>
    <dxf>
      <fill>
        <patternFill>
          <bgColor rgb="FFD8E081"/>
        </patternFill>
      </fill>
    </dxf>
    <dxf>
      <fill>
        <patternFill>
          <bgColor rgb="FFD8E081"/>
        </patternFill>
      </fill>
    </dxf>
    <dxf>
      <fill>
        <patternFill>
          <bgColor rgb="FFD8E081"/>
        </patternFill>
      </fill>
    </dxf>
    <dxf>
      <fill>
        <patternFill>
          <bgColor rgb="FFFFEB83"/>
        </patternFill>
      </fill>
    </dxf>
    <dxf>
      <fill>
        <patternFill>
          <bgColor rgb="FFFFEB83"/>
        </patternFill>
      </fill>
    </dxf>
    <dxf>
      <fill>
        <patternFill>
          <bgColor rgb="FFFFEB83"/>
        </patternFill>
      </fill>
    </dxf>
    <dxf>
      <fill>
        <patternFill>
          <bgColor rgb="FFFFEB83"/>
        </patternFill>
      </fill>
    </dxf>
    <dxf>
      <fill>
        <patternFill>
          <bgColor rgb="FFFFEB83"/>
        </patternFill>
      </fill>
    </dxf>
    <dxf>
      <fill>
        <patternFill>
          <bgColor rgb="FFFFCB7E"/>
        </patternFill>
      </fill>
    </dxf>
    <dxf>
      <fill>
        <patternFill>
          <bgColor rgb="FFFFCB7E"/>
        </patternFill>
      </fill>
    </dxf>
    <dxf>
      <fill>
        <patternFill>
          <bgColor rgb="FFFFCB7E"/>
        </patternFill>
      </fill>
    </dxf>
    <dxf>
      <fill>
        <patternFill>
          <bgColor rgb="FFFFCB7E"/>
        </patternFill>
      </fill>
    </dxf>
    <dxf>
      <fill>
        <patternFill>
          <bgColor rgb="FFFCAB78"/>
        </patternFill>
      </fill>
    </dxf>
    <dxf>
      <fill>
        <patternFill>
          <bgColor rgb="FFFCAB78"/>
        </patternFill>
      </fill>
    </dxf>
    <dxf>
      <fill>
        <patternFill>
          <bgColor rgb="FFFCAB78"/>
        </patternFill>
      </fill>
    </dxf>
    <dxf>
      <fill>
        <patternFill>
          <bgColor rgb="FFFA8A72"/>
        </patternFill>
      </fill>
    </dxf>
    <dxf>
      <fill>
        <patternFill>
          <bgColor rgb="FFFA8A72"/>
        </patternFill>
      </fill>
    </dxf>
    <dxf>
      <fill>
        <patternFill>
          <bgColor rgb="FFF9696A"/>
        </patternFill>
      </fill>
    </dxf>
    <dxf>
      <fill>
        <patternFill>
          <bgColor theme="4" tint="0.79998168889431442"/>
        </patternFill>
      </fill>
    </dxf>
    <dxf>
      <fill>
        <patternFill>
          <bgColor theme="4" tint="0.79998168889431442"/>
        </patternFill>
      </fill>
    </dxf>
    <dxf>
      <fill>
        <patternFill>
          <bgColor theme="4" tint="0.79998168889431442"/>
        </patternFill>
      </fill>
    </dxf>
    <dxf>
      <font>
        <color rgb="FF006100"/>
      </font>
      <fill>
        <patternFill>
          <bgColor rgb="FFC6EFCE"/>
        </patternFill>
      </fill>
    </dxf>
    <dxf>
      <font>
        <color rgb="FF9C0006"/>
      </font>
      <fill>
        <patternFill>
          <bgColor rgb="FFFFC7CE"/>
        </patternFill>
      </fill>
    </dxf>
    <dxf>
      <font>
        <color theme="8" tint="-0.499984740745262"/>
      </font>
      <fill>
        <patternFill>
          <bgColor theme="4" tint="0.79998168889431442"/>
        </patternFill>
      </fill>
    </dxf>
    <dxf>
      <font>
        <b/>
        <i val="0"/>
        <color theme="1"/>
      </font>
    </dxf>
    <dxf>
      <font>
        <b/>
        <i val="0"/>
        <color theme="1"/>
      </font>
    </dxf>
    <dxf>
      <fill>
        <patternFill>
          <bgColor theme="4" tint="0.79998168889431442"/>
        </patternFill>
      </fill>
    </dxf>
    <dxf>
      <font>
        <b/>
        <i val="0"/>
        <color theme="9" tint="-0.499984740745262"/>
      </font>
    </dxf>
    <dxf>
      <fill>
        <patternFill>
          <bgColor theme="4" tint="0.79998168889431442"/>
        </patternFill>
      </fill>
    </dxf>
    <dxf>
      <font>
        <color rgb="FF63BE7B"/>
      </font>
    </dxf>
    <dxf>
      <font>
        <color rgb="FFB1D480"/>
      </font>
    </dxf>
    <dxf>
      <font>
        <color rgb="FFFFEB83"/>
      </font>
    </dxf>
    <dxf>
      <font>
        <color rgb="FFFCAB78"/>
      </font>
    </dxf>
    <dxf>
      <font>
        <color rgb="FFF9696A"/>
      </font>
    </dxf>
    <dxf>
      <font>
        <color rgb="FF63BE7B"/>
      </font>
    </dxf>
    <dxf>
      <font>
        <color rgb="FFB1D480"/>
      </font>
    </dxf>
    <dxf>
      <font>
        <color rgb="FFFFEB83"/>
      </font>
    </dxf>
    <dxf>
      <font>
        <color rgb="FFFCAB78"/>
      </font>
    </dxf>
    <dxf>
      <font>
        <color rgb="FFF9696A"/>
      </font>
    </dxf>
    <dxf>
      <font>
        <color rgb="FF63BE7B"/>
      </font>
    </dxf>
    <dxf>
      <font>
        <color rgb="FFB1D480"/>
      </font>
    </dxf>
    <dxf>
      <font>
        <color rgb="FFFFEB83"/>
      </font>
    </dxf>
    <dxf>
      <font>
        <color rgb="FFFCAB78"/>
      </font>
    </dxf>
    <dxf>
      <font>
        <color rgb="FFF9696A"/>
      </font>
    </dxf>
    <dxf>
      <font>
        <color rgb="FF63BE7B"/>
      </font>
    </dxf>
    <dxf>
      <font>
        <color rgb="FFB1D480"/>
      </font>
    </dxf>
    <dxf>
      <font>
        <color rgb="FFFFEB83"/>
      </font>
    </dxf>
    <dxf>
      <font>
        <color rgb="FFFCAB78"/>
      </font>
    </dxf>
    <dxf>
      <font>
        <color rgb="FFF9696A"/>
      </font>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ont>
        <b/>
        <i val="0"/>
        <color rgb="FFC00000"/>
      </font>
    </dxf>
    <dxf>
      <font>
        <color theme="8" tint="-0.499984740745262"/>
      </font>
      <fill>
        <patternFill>
          <bgColor theme="4" tint="0.79998168889431442"/>
        </patternFill>
      </fill>
    </dxf>
  </dxfs>
  <tableStyles count="0" defaultTableStyle="TableStyleMedium2" defaultPivotStyle="PivotStyleLight16"/>
  <colors>
    <mruColors>
      <color rgb="FFF9F9F9"/>
      <color rgb="FFFAFAFA"/>
      <color rgb="FF63BE7B"/>
      <color rgb="FF88C47B"/>
      <color rgb="FFB1D480"/>
      <color rgb="FFD9E181"/>
      <color rgb="FFFFEC83"/>
      <color rgb="FFFFCB7E"/>
      <color rgb="FFFCAB78"/>
      <color rgb="FFFA8A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24843963882505"/>
          <c:y val="6.6879527559055116E-2"/>
          <c:w val="0.75128307526152527"/>
          <c:h val="0.82302965879265078"/>
        </c:manualLayout>
      </c:layout>
      <c:scatterChart>
        <c:scatterStyle val="lineMarker"/>
        <c:varyColors val="0"/>
        <c:ser>
          <c:idx val="2"/>
          <c:order val="0"/>
          <c:tx>
            <c:v>Cessna172N</c:v>
          </c:tx>
          <c:spPr>
            <a:ln w="31750">
              <a:solidFill>
                <a:schemeClr val="tx1"/>
              </a:solidFill>
            </a:ln>
          </c:spPr>
          <c:marker>
            <c:symbol val="none"/>
          </c:marker>
          <c:xVal>
            <c:numRef>
              <c:f>'C172 R-S'!$AJ$9:$AJ$13</c:f>
              <c:numCache>
                <c:formatCode>General</c:formatCode>
                <c:ptCount val="5"/>
                <c:pt idx="0">
                  <c:v>35</c:v>
                </c:pt>
                <c:pt idx="1">
                  <c:v>35</c:v>
                </c:pt>
                <c:pt idx="2">
                  <c:v>41</c:v>
                </c:pt>
                <c:pt idx="3">
                  <c:v>47.3</c:v>
                </c:pt>
                <c:pt idx="4">
                  <c:v>47.3</c:v>
                </c:pt>
              </c:numCache>
            </c:numRef>
          </c:xVal>
          <c:yVal>
            <c:numRef>
              <c:f>'C172 R-S'!$AK$9:$AK$13</c:f>
              <c:numCache>
                <c:formatCode>General</c:formatCode>
                <c:ptCount val="5"/>
                <c:pt idx="0">
                  <c:v>1500</c:v>
                </c:pt>
                <c:pt idx="1">
                  <c:v>1950</c:v>
                </c:pt>
                <c:pt idx="2">
                  <c:v>2550</c:v>
                </c:pt>
                <c:pt idx="3">
                  <c:v>2550</c:v>
                </c:pt>
                <c:pt idx="4">
                  <c:v>1500</c:v>
                </c:pt>
              </c:numCache>
            </c:numRef>
          </c:yVal>
          <c:smooth val="0"/>
          <c:extLst>
            <c:ext xmlns:c16="http://schemas.microsoft.com/office/drawing/2014/chart" uri="{C3380CC4-5D6E-409C-BE32-E72D297353CC}">
              <c16:uniqueId val="{00000000-7860-8D40-9318-04496078B46E}"/>
            </c:ext>
          </c:extLst>
        </c:ser>
        <c:ser>
          <c:idx val="4"/>
          <c:order val="1"/>
          <c:tx>
            <c:v>CG TO LNDG</c:v>
          </c:tx>
          <c:spPr>
            <a:ln w="38100" cap="sq">
              <a:solidFill>
                <a:srgbClr val="FF0000"/>
              </a:solidFill>
              <a:prstDash val="sysDot"/>
              <a:headEnd type="oval"/>
              <a:tailEnd type="triangle"/>
            </a:ln>
          </c:spPr>
          <c:marker>
            <c:symbol val="none"/>
          </c:marker>
          <c:dPt>
            <c:idx val="1"/>
            <c:bubble3D val="0"/>
            <c:spPr>
              <a:ln w="38100" cap="rnd">
                <a:solidFill>
                  <a:srgbClr val="FF0000"/>
                </a:solidFill>
                <a:prstDash val="sysDot"/>
                <a:headEnd type="oval"/>
                <a:tailEnd type="triangle"/>
              </a:ln>
            </c:spPr>
            <c:extLst>
              <c:ext xmlns:c16="http://schemas.microsoft.com/office/drawing/2014/chart" uri="{C3380CC4-5D6E-409C-BE32-E72D297353CC}">
                <c16:uniqueId val="{00000002-7860-8D40-9318-04496078B46E}"/>
              </c:ext>
            </c:extLst>
          </c:dPt>
          <c:xVal>
            <c:numRef>
              <c:f>'C172 R-S'!$AJ$17:$AJ$18</c:f>
              <c:numCache>
                <c:formatCode>0.000</c:formatCode>
                <c:ptCount val="2"/>
                <c:pt idx="0">
                  <c:v>#N/A</c:v>
                </c:pt>
                <c:pt idx="1">
                  <c:v>#N/A</c:v>
                </c:pt>
              </c:numCache>
            </c:numRef>
          </c:xVal>
          <c:yVal>
            <c:numRef>
              <c:f>'C172 R-S'!$AK$17:$AK$18</c:f>
              <c:numCache>
                <c:formatCode>0.000</c:formatCode>
                <c:ptCount val="2"/>
                <c:pt idx="0">
                  <c:v>#N/A</c:v>
                </c:pt>
                <c:pt idx="1">
                  <c:v>#N/A</c:v>
                </c:pt>
              </c:numCache>
            </c:numRef>
          </c:yVal>
          <c:smooth val="0"/>
          <c:extLst>
            <c:ext xmlns:c16="http://schemas.microsoft.com/office/drawing/2014/chart" uri="{C3380CC4-5D6E-409C-BE32-E72D297353CC}">
              <c16:uniqueId val="{00000003-7860-8D40-9318-04496078B46E}"/>
            </c:ext>
          </c:extLst>
        </c:ser>
        <c:ser>
          <c:idx val="0"/>
          <c:order val="2"/>
          <c:tx>
            <c:v>Cessna172U</c:v>
          </c:tx>
          <c:spPr>
            <a:ln w="31750">
              <a:solidFill>
                <a:schemeClr val="tx1"/>
              </a:solidFill>
            </a:ln>
          </c:spPr>
          <c:marker>
            <c:symbol val="none"/>
          </c:marker>
          <c:xVal>
            <c:numRef>
              <c:f>'C172 R-S'!$AL$9:$AL$13</c:f>
              <c:numCache>
                <c:formatCode>General</c:formatCode>
                <c:ptCount val="5"/>
                <c:pt idx="0">
                  <c:v>35</c:v>
                </c:pt>
                <c:pt idx="1">
                  <c:v>35</c:v>
                </c:pt>
                <c:pt idx="2">
                  <c:v>37.5</c:v>
                </c:pt>
                <c:pt idx="3">
                  <c:v>40.5</c:v>
                </c:pt>
                <c:pt idx="4">
                  <c:v>40.5</c:v>
                </c:pt>
              </c:numCache>
            </c:numRef>
          </c:xVal>
          <c:yVal>
            <c:numRef>
              <c:f>'C172 R-S'!$AM$9:$AM$13</c:f>
              <c:numCache>
                <c:formatCode>General</c:formatCode>
                <c:ptCount val="5"/>
                <c:pt idx="0">
                  <c:v>1500</c:v>
                </c:pt>
                <c:pt idx="1">
                  <c:v>1950</c:v>
                </c:pt>
                <c:pt idx="2">
                  <c:v>2200</c:v>
                </c:pt>
                <c:pt idx="3">
                  <c:v>2200</c:v>
                </c:pt>
                <c:pt idx="4">
                  <c:v>1500</c:v>
                </c:pt>
              </c:numCache>
            </c:numRef>
          </c:yVal>
          <c:smooth val="0"/>
          <c:extLst>
            <c:ext xmlns:c16="http://schemas.microsoft.com/office/drawing/2014/chart" uri="{C3380CC4-5D6E-409C-BE32-E72D297353CC}">
              <c16:uniqueId val="{00000004-7860-8D40-9318-04496078B46E}"/>
            </c:ext>
          </c:extLst>
        </c:ser>
        <c:dLbls>
          <c:showLegendKey val="0"/>
          <c:showVal val="0"/>
          <c:showCatName val="0"/>
          <c:showSerName val="0"/>
          <c:showPercent val="0"/>
          <c:showBubbleSize val="0"/>
        </c:dLbls>
        <c:axId val="-2121217168"/>
        <c:axId val="-2105396368"/>
      </c:scatterChart>
      <c:valAx>
        <c:axId val="-2121217168"/>
        <c:scaling>
          <c:orientation val="minMax"/>
          <c:max val="49"/>
          <c:min val="34"/>
        </c:scaling>
        <c:delete val="0"/>
        <c:axPos val="b"/>
        <c:majorGridlines>
          <c:spPr>
            <a:ln>
              <a:solidFill>
                <a:schemeClr val="tx1"/>
              </a:solidFill>
            </a:ln>
          </c:spPr>
        </c:majorGridlines>
        <c:title>
          <c:tx>
            <c:rich>
              <a:bodyPr/>
              <a:lstStyle/>
              <a:p>
                <a:pPr>
                  <a:defRPr sz="1200">
                    <a:solidFill>
                      <a:schemeClr val="tx1"/>
                    </a:solidFill>
                  </a:defRPr>
                </a:pPr>
                <a:r>
                  <a:rPr lang="es-ES" sz="1200">
                    <a:solidFill>
                      <a:schemeClr val="tx1"/>
                    </a:solidFill>
                  </a:rPr>
                  <a:t>AIRPLANE C.G. LOCATION - INCHES AFT OF DATUM (STA 0.0)</a:t>
                </a:r>
              </a:p>
            </c:rich>
          </c:tx>
          <c:layout>
            <c:manualLayout>
              <c:xMode val="edge"/>
              <c:yMode val="edge"/>
              <c:x val="0.27210413291639979"/>
              <c:y val="0.9417333333333332"/>
            </c:manualLayout>
          </c:layout>
          <c:overlay val="0"/>
          <c:spPr>
            <a:noFill/>
          </c:spPr>
        </c:title>
        <c:numFmt formatCode="General" sourceLinked="1"/>
        <c:majorTickMark val="out"/>
        <c:minorTickMark val="in"/>
        <c:tickLblPos val="nextTo"/>
        <c:spPr>
          <a:noFill/>
          <a:ln>
            <a:solidFill>
              <a:schemeClr val="tx1"/>
            </a:solidFill>
          </a:ln>
        </c:spPr>
        <c:txPr>
          <a:bodyPr/>
          <a:lstStyle/>
          <a:p>
            <a:pPr>
              <a:defRPr>
                <a:solidFill>
                  <a:schemeClr val="tx1"/>
                </a:solidFill>
              </a:defRPr>
            </a:pPr>
            <a:endParaRPr lang="es-CO"/>
          </a:p>
        </c:txPr>
        <c:crossAx val="-2105396368"/>
        <c:crosses val="autoZero"/>
        <c:crossBetween val="midCat"/>
        <c:majorUnit val="1"/>
        <c:minorUnit val="0.1"/>
      </c:valAx>
      <c:valAx>
        <c:axId val="-2105396368"/>
        <c:scaling>
          <c:orientation val="minMax"/>
          <c:max val="2600"/>
          <c:min val="1500"/>
        </c:scaling>
        <c:delete val="0"/>
        <c:axPos val="l"/>
        <c:majorGridlines>
          <c:spPr>
            <a:ln>
              <a:solidFill>
                <a:schemeClr val="tx1"/>
              </a:solidFill>
            </a:ln>
          </c:spPr>
        </c:majorGridlines>
        <c:title>
          <c:tx>
            <c:rich>
              <a:bodyPr rot="-5400000" vert="horz"/>
              <a:lstStyle/>
              <a:p>
                <a:pPr>
                  <a:defRPr>
                    <a:solidFill>
                      <a:schemeClr val="tx1"/>
                    </a:solidFill>
                  </a:defRPr>
                </a:pPr>
                <a:r>
                  <a:rPr lang="es-ES" sz="1200">
                    <a:solidFill>
                      <a:schemeClr val="tx1"/>
                    </a:solidFill>
                  </a:rPr>
                  <a:t>LOADED AIRPLANE WEIGHT</a:t>
                </a:r>
                <a:r>
                  <a:rPr lang="es-ES" sz="1200" baseline="0">
                    <a:solidFill>
                      <a:schemeClr val="tx1"/>
                    </a:solidFill>
                  </a:rPr>
                  <a:t> (PUNDS)</a:t>
                </a:r>
                <a:endParaRPr lang="es-ES" sz="1200">
                  <a:solidFill>
                    <a:schemeClr val="tx1"/>
                  </a:solidFill>
                </a:endParaRPr>
              </a:p>
            </c:rich>
          </c:tx>
          <c:layout>
            <c:manualLayout>
              <c:xMode val="edge"/>
              <c:yMode val="edge"/>
              <c:x val="5.4846349947883316E-2"/>
              <c:y val="0.28916417322834653"/>
            </c:manualLayout>
          </c:layout>
          <c:overlay val="0"/>
        </c:title>
        <c:numFmt formatCode="General" sourceLinked="0"/>
        <c:majorTickMark val="out"/>
        <c:minorTickMark val="out"/>
        <c:tickLblPos val="nextTo"/>
        <c:spPr>
          <a:noFill/>
          <a:ln w="12700" cmpd="sng">
            <a:solidFill>
              <a:schemeClr val="tx1"/>
            </a:solidFill>
          </a:ln>
          <a:effectLst>
            <a:outerShdw blurRad="50800" dist="50800" sx="1000" sy="1000" algn="ctr" rotWithShape="0">
              <a:sysClr val="window" lastClr="FFFFFF"/>
            </a:outerShdw>
          </a:effectLst>
        </c:spPr>
        <c:txPr>
          <a:bodyPr/>
          <a:lstStyle/>
          <a:p>
            <a:pPr>
              <a:defRPr>
                <a:solidFill>
                  <a:schemeClr val="tx1"/>
                </a:solidFill>
              </a:defRPr>
            </a:pPr>
            <a:endParaRPr lang="es-CO"/>
          </a:p>
        </c:txPr>
        <c:crossAx val="-2121217168"/>
        <c:crosses val="autoZero"/>
        <c:crossBetween val="midCat"/>
        <c:majorUnit val="100"/>
        <c:minorUnit val="10"/>
      </c:valAx>
      <c:spPr>
        <a:noFill/>
        <a:ln>
          <a:solidFill>
            <a:schemeClr val="tx1"/>
          </a:solidFill>
        </a:ln>
      </c:spPr>
    </c:plotArea>
    <c:plotVisOnly val="0"/>
    <c:dispBlanksAs val="gap"/>
    <c:showDLblsOverMax val="0"/>
  </c:chart>
  <c:spPr>
    <a:noFill/>
    <a:ln w="0">
      <a:noFill/>
    </a:ln>
    <a:scene3d>
      <a:camera prst="orthographicFront"/>
      <a:lightRig rig="threePt" dir="t"/>
    </a:scene3d>
    <a:sp3d>
      <a:bevelT/>
    </a:sp3d>
  </c:spPr>
  <c:txPr>
    <a:bodyPr/>
    <a:lstStyle/>
    <a:p>
      <a:pPr>
        <a:defRPr>
          <a:solidFill>
            <a:schemeClr val="bg1"/>
          </a:solidFill>
          <a:latin typeface="Calibri" panose="020F0502020204030204" pitchFamily="34" charset="0"/>
          <a:cs typeface="Calibri" panose="020F0502020204030204" pitchFamily="34" charset="0"/>
        </a:defRPr>
      </a:pPr>
      <a:endParaRPr lang="es-CO"/>
    </a:p>
  </c:txPr>
  <c:printSettings>
    <c:headerFooter/>
    <c:pageMargins b="0.750000000000001" l="0.70000000000000095" r="0.70000000000000095" t="0.750000000000001"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959759072731023"/>
          <c:y val="7.0212914612641814E-2"/>
          <c:w val="0.74745465007066281"/>
          <c:h val="0.78802960978157843"/>
        </c:manualLayout>
      </c:layout>
      <c:scatterChart>
        <c:scatterStyle val="lineMarker"/>
        <c:varyColors val="0"/>
        <c:ser>
          <c:idx val="2"/>
          <c:order val="0"/>
          <c:tx>
            <c:v>580</c:v>
          </c:tx>
          <c:marker>
            <c:symbol val="none"/>
          </c:marker>
          <c:xVal>
            <c:numLit>
              <c:ptCount val="0"/>
            </c:numLit>
          </c:xVal>
          <c:yVal>
            <c:numLit>
              <c:formatCode>General</c:formatCode>
              <c:ptCount val="1"/>
              <c:pt idx="0">
                <c:v>1</c:v>
              </c:pt>
            </c:numLit>
          </c:yVal>
          <c:smooth val="0"/>
          <c:extLst>
            <c:ext xmlns:c16="http://schemas.microsoft.com/office/drawing/2014/chart" uri="{C3380CC4-5D6E-409C-BE32-E72D297353CC}">
              <c16:uniqueId val="{00000000-2576-7941-9CFC-FEE375AEBB2E}"/>
            </c:ext>
          </c:extLst>
        </c:ser>
        <c:ser>
          <c:idx val="4"/>
          <c:order val="1"/>
          <c:tx>
            <c:v>CG TO LNDG</c:v>
          </c:tx>
          <c:spPr>
            <a:ln w="38100">
              <a:solidFill>
                <a:srgbClr val="FF0000"/>
              </a:solidFill>
              <a:prstDash val="sysDot"/>
              <a:headEnd type="oval"/>
              <a:tailEnd type="triangle"/>
            </a:ln>
          </c:spPr>
          <c:marker>
            <c:symbol val="none"/>
          </c:marker>
          <c:xVal>
            <c:numRef>
              <c:f>P2002JF!$AJ$16:$AJ$17</c:f>
              <c:numCache>
                <c:formatCode>General</c:formatCode>
                <c:ptCount val="2"/>
                <c:pt idx="0">
                  <c:v>#N/A</c:v>
                </c:pt>
                <c:pt idx="1">
                  <c:v>#N/A</c:v>
                </c:pt>
              </c:numCache>
            </c:numRef>
          </c:xVal>
          <c:yVal>
            <c:numRef>
              <c:f>P2002JF!$AK$16:$AK$17</c:f>
              <c:numCache>
                <c:formatCode>0.000</c:formatCode>
                <c:ptCount val="2"/>
                <c:pt idx="0">
                  <c:v>#N/A</c:v>
                </c:pt>
                <c:pt idx="1">
                  <c:v>#N/A</c:v>
                </c:pt>
              </c:numCache>
            </c:numRef>
          </c:yVal>
          <c:smooth val="0"/>
          <c:extLst>
            <c:ext xmlns:c16="http://schemas.microsoft.com/office/drawing/2014/chart" uri="{C3380CC4-5D6E-409C-BE32-E72D297353CC}">
              <c16:uniqueId val="{00000001-2576-7941-9CFC-FEE375AEBB2E}"/>
            </c:ext>
          </c:extLst>
        </c:ser>
        <c:ser>
          <c:idx val="0"/>
          <c:order val="2"/>
          <c:tx>
            <c:v>600</c:v>
          </c:tx>
          <c:marker>
            <c:symbol val="none"/>
          </c:marker>
          <c:xVal>
            <c:numLit>
              <c:ptCount val="0"/>
            </c:numLit>
          </c:xVal>
          <c:yVal>
            <c:numLit>
              <c:formatCode>General</c:formatCode>
              <c:ptCount val="1"/>
              <c:pt idx="0">
                <c:v>1</c:v>
              </c:pt>
            </c:numLit>
          </c:yVal>
          <c:smooth val="0"/>
          <c:extLst>
            <c:ext xmlns:c16="http://schemas.microsoft.com/office/drawing/2014/chart" uri="{C3380CC4-5D6E-409C-BE32-E72D297353CC}">
              <c16:uniqueId val="{00000002-2576-7941-9CFC-FEE375AEBB2E}"/>
            </c:ext>
          </c:extLst>
        </c:ser>
        <c:ser>
          <c:idx val="1"/>
          <c:order val="3"/>
          <c:tx>
            <c:v>620</c:v>
          </c:tx>
          <c:spPr>
            <a:ln w="28575">
              <a:solidFill>
                <a:schemeClr val="tx1"/>
              </a:solidFill>
            </a:ln>
          </c:spPr>
          <c:marker>
            <c:symbol val="none"/>
          </c:marker>
          <c:xVal>
            <c:numRef>
              <c:f>P2002JF!$AN$9:$AN$12</c:f>
              <c:numCache>
                <c:formatCode>General</c:formatCode>
                <c:ptCount val="4"/>
                <c:pt idx="0">
                  <c:v>169.3</c:v>
                </c:pt>
                <c:pt idx="1">
                  <c:v>169.3</c:v>
                </c:pt>
                <c:pt idx="2">
                  <c:v>178.2</c:v>
                </c:pt>
                <c:pt idx="3">
                  <c:v>178.2</c:v>
                </c:pt>
              </c:numCache>
            </c:numRef>
          </c:xVal>
          <c:yVal>
            <c:numRef>
              <c:f>P2002JF!$AO$9:$AO$12</c:f>
              <c:numCache>
                <c:formatCode>General</c:formatCode>
                <c:ptCount val="4"/>
                <c:pt idx="0">
                  <c:v>337</c:v>
                </c:pt>
                <c:pt idx="1">
                  <c:v>620</c:v>
                </c:pt>
                <c:pt idx="2">
                  <c:v>620</c:v>
                </c:pt>
                <c:pt idx="3">
                  <c:v>337</c:v>
                </c:pt>
              </c:numCache>
            </c:numRef>
          </c:yVal>
          <c:smooth val="0"/>
          <c:extLst>
            <c:ext xmlns:c16="http://schemas.microsoft.com/office/drawing/2014/chart" uri="{C3380CC4-5D6E-409C-BE32-E72D297353CC}">
              <c16:uniqueId val="{00000003-2576-7941-9CFC-FEE375AEBB2E}"/>
            </c:ext>
          </c:extLst>
        </c:ser>
        <c:ser>
          <c:idx val="3"/>
          <c:order val="4"/>
          <c:tx>
            <c:v>337</c:v>
          </c:tx>
          <c:marker>
            <c:symbol val="none"/>
          </c:marker>
          <c:xVal>
            <c:numRef>
              <c:f>P2002JF!$AR$7:$AR$8</c:f>
              <c:numCache>
                <c:formatCode>0.0</c:formatCode>
                <c:ptCount val="2"/>
                <c:pt idx="0">
                  <c:v>169.3</c:v>
                </c:pt>
                <c:pt idx="1">
                  <c:v>178.2</c:v>
                </c:pt>
              </c:numCache>
            </c:numRef>
          </c:xVal>
          <c:yVal>
            <c:numRef>
              <c:f>P2002JF!$AS$7:$AS$8</c:f>
              <c:numCache>
                <c:formatCode>0.0</c:formatCode>
                <c:ptCount val="2"/>
                <c:pt idx="0">
                  <c:v>337</c:v>
                </c:pt>
                <c:pt idx="1">
                  <c:v>337</c:v>
                </c:pt>
              </c:numCache>
            </c:numRef>
          </c:yVal>
          <c:smooth val="0"/>
          <c:extLst>
            <c:ext xmlns:c16="http://schemas.microsoft.com/office/drawing/2014/chart" uri="{C3380CC4-5D6E-409C-BE32-E72D297353CC}">
              <c16:uniqueId val="{00000004-2576-7941-9CFC-FEE375AEBB2E}"/>
            </c:ext>
          </c:extLst>
        </c:ser>
        <c:ser>
          <c:idx val="5"/>
          <c:order val="5"/>
          <c:tx>
            <c:v>402</c:v>
          </c:tx>
          <c:spPr>
            <a:ln>
              <a:solidFill>
                <a:schemeClr val="tx1"/>
              </a:solidFill>
            </a:ln>
          </c:spPr>
          <c:marker>
            <c:symbol val="none"/>
          </c:marker>
          <c:xVal>
            <c:numRef>
              <c:f>P2002JF!$AR$9:$AR$10</c:f>
              <c:numCache>
                <c:formatCode>0.0</c:formatCode>
                <c:ptCount val="2"/>
                <c:pt idx="0">
                  <c:v>164</c:v>
                </c:pt>
                <c:pt idx="1">
                  <c:v>178.2</c:v>
                </c:pt>
              </c:numCache>
            </c:numRef>
          </c:xVal>
          <c:yVal>
            <c:numRef>
              <c:f>P2002JF!$AS$9:$AS$10</c:f>
              <c:numCache>
                <c:formatCode>0.0</c:formatCode>
                <c:ptCount val="2"/>
                <c:pt idx="0">
                  <c:v>402</c:v>
                </c:pt>
                <c:pt idx="1">
                  <c:v>402</c:v>
                </c:pt>
              </c:numCache>
            </c:numRef>
          </c:yVal>
          <c:smooth val="0"/>
          <c:extLst>
            <c:ext xmlns:c16="http://schemas.microsoft.com/office/drawing/2014/chart" uri="{C3380CC4-5D6E-409C-BE32-E72D297353CC}">
              <c16:uniqueId val="{00000005-2576-7941-9CFC-FEE375AEBB2E}"/>
            </c:ext>
          </c:extLst>
        </c:ser>
        <c:ser>
          <c:idx val="6"/>
          <c:order val="6"/>
          <c:tx>
            <c:v>337min</c:v>
          </c:tx>
          <c:spPr>
            <a:ln>
              <a:solidFill>
                <a:schemeClr val="tx1"/>
              </a:solidFill>
            </a:ln>
          </c:spPr>
          <c:marker>
            <c:symbol val="none"/>
          </c:marker>
          <c:xVal>
            <c:numRef>
              <c:f>P2002JF!$AR$11:$AR$12</c:f>
              <c:numCache>
                <c:formatCode>0.0</c:formatCode>
                <c:ptCount val="2"/>
                <c:pt idx="0">
                  <c:v>164</c:v>
                </c:pt>
                <c:pt idx="1">
                  <c:v>178.2</c:v>
                </c:pt>
              </c:numCache>
            </c:numRef>
          </c:xVal>
          <c:yVal>
            <c:numRef>
              <c:f>P2002JF!$AS$11:$AS$12</c:f>
              <c:numCache>
                <c:formatCode>0.0</c:formatCode>
                <c:ptCount val="2"/>
                <c:pt idx="0">
                  <c:v>337</c:v>
                </c:pt>
                <c:pt idx="1">
                  <c:v>337</c:v>
                </c:pt>
              </c:numCache>
            </c:numRef>
          </c:yVal>
          <c:smooth val="0"/>
          <c:extLst>
            <c:ext xmlns:c16="http://schemas.microsoft.com/office/drawing/2014/chart" uri="{C3380CC4-5D6E-409C-BE32-E72D297353CC}">
              <c16:uniqueId val="{00000006-2576-7941-9CFC-FEE375AEBB2E}"/>
            </c:ext>
          </c:extLst>
        </c:ser>
        <c:ser>
          <c:idx val="7"/>
          <c:order val="7"/>
          <c:tx>
            <c:v>580min</c:v>
          </c:tx>
          <c:spPr>
            <a:ln>
              <a:solidFill>
                <a:schemeClr val="tx1"/>
              </a:solidFill>
            </a:ln>
          </c:spPr>
          <c:marker>
            <c:symbol val="none"/>
          </c:marker>
          <c:xVal>
            <c:numRef>
              <c:f>P2002JF!$AU$7:$AU$8</c:f>
              <c:numCache>
                <c:formatCode>0.0</c:formatCode>
                <c:ptCount val="2"/>
                <c:pt idx="0">
                  <c:v>164</c:v>
                </c:pt>
                <c:pt idx="1">
                  <c:v>178.2</c:v>
                </c:pt>
              </c:numCache>
            </c:numRef>
          </c:xVal>
          <c:yVal>
            <c:numRef>
              <c:f>P2002JF!$AV$7:$AV$8</c:f>
              <c:numCache>
                <c:formatCode>0.0</c:formatCode>
                <c:ptCount val="2"/>
                <c:pt idx="0">
                  <c:v>580</c:v>
                </c:pt>
                <c:pt idx="1">
                  <c:v>580</c:v>
                </c:pt>
              </c:numCache>
            </c:numRef>
          </c:yVal>
          <c:smooth val="0"/>
          <c:extLst>
            <c:ext xmlns:c16="http://schemas.microsoft.com/office/drawing/2014/chart" uri="{C3380CC4-5D6E-409C-BE32-E72D297353CC}">
              <c16:uniqueId val="{00000007-2576-7941-9CFC-FEE375AEBB2E}"/>
            </c:ext>
          </c:extLst>
        </c:ser>
        <c:ser>
          <c:idx val="8"/>
          <c:order val="8"/>
          <c:tx>
            <c:v>600min</c:v>
          </c:tx>
          <c:spPr>
            <a:ln>
              <a:solidFill>
                <a:schemeClr val="tx1"/>
              </a:solidFill>
            </a:ln>
          </c:spPr>
          <c:marker>
            <c:symbol val="none"/>
          </c:marker>
          <c:xVal>
            <c:numRef>
              <c:f>P2002JF!$AU$9:$AU$10</c:f>
              <c:numCache>
                <c:formatCode>0.0</c:formatCode>
                <c:ptCount val="2"/>
                <c:pt idx="0">
                  <c:v>164</c:v>
                </c:pt>
                <c:pt idx="1">
                  <c:v>178.2</c:v>
                </c:pt>
              </c:numCache>
            </c:numRef>
          </c:xVal>
          <c:yVal>
            <c:numRef>
              <c:f>P2002JF!$AV$9:$AV$10</c:f>
              <c:numCache>
                <c:formatCode>0.0</c:formatCode>
                <c:ptCount val="2"/>
                <c:pt idx="0">
                  <c:v>600</c:v>
                </c:pt>
                <c:pt idx="1">
                  <c:v>600</c:v>
                </c:pt>
              </c:numCache>
            </c:numRef>
          </c:yVal>
          <c:smooth val="0"/>
          <c:extLst>
            <c:ext xmlns:c16="http://schemas.microsoft.com/office/drawing/2014/chart" uri="{C3380CC4-5D6E-409C-BE32-E72D297353CC}">
              <c16:uniqueId val="{00000008-2576-7941-9CFC-FEE375AEBB2E}"/>
            </c:ext>
          </c:extLst>
        </c:ser>
        <c:ser>
          <c:idx val="9"/>
          <c:order val="9"/>
          <c:tx>
            <c:v>620min</c:v>
          </c:tx>
          <c:spPr>
            <a:ln>
              <a:solidFill>
                <a:schemeClr val="tx1"/>
              </a:solidFill>
            </a:ln>
          </c:spPr>
          <c:marker>
            <c:symbol val="none"/>
          </c:marker>
          <c:xVal>
            <c:numRef>
              <c:f>P2002JF!$AU$11:$AU$12</c:f>
              <c:numCache>
                <c:formatCode>0.0</c:formatCode>
                <c:ptCount val="2"/>
                <c:pt idx="0">
                  <c:v>164</c:v>
                </c:pt>
                <c:pt idx="1">
                  <c:v>178.2</c:v>
                </c:pt>
              </c:numCache>
            </c:numRef>
          </c:xVal>
          <c:yVal>
            <c:numRef>
              <c:f>P2002JF!$AV$11:$AV$12</c:f>
              <c:numCache>
                <c:formatCode>0.0</c:formatCode>
                <c:ptCount val="2"/>
                <c:pt idx="0">
                  <c:v>620</c:v>
                </c:pt>
                <c:pt idx="1">
                  <c:v>620</c:v>
                </c:pt>
              </c:numCache>
            </c:numRef>
          </c:yVal>
          <c:smooth val="0"/>
          <c:extLst>
            <c:ext xmlns:c16="http://schemas.microsoft.com/office/drawing/2014/chart" uri="{C3380CC4-5D6E-409C-BE32-E72D297353CC}">
              <c16:uniqueId val="{00000009-2576-7941-9CFC-FEE375AEBB2E}"/>
            </c:ext>
          </c:extLst>
        </c:ser>
        <c:dLbls>
          <c:showLegendKey val="0"/>
          <c:showVal val="0"/>
          <c:showCatName val="0"/>
          <c:showSerName val="0"/>
          <c:showPercent val="0"/>
          <c:showBubbleSize val="0"/>
        </c:dLbls>
        <c:axId val="-2121217168"/>
        <c:axId val="-2105396368"/>
      </c:scatterChart>
      <c:valAx>
        <c:axId val="-2121217168"/>
        <c:scaling>
          <c:orientation val="minMax"/>
          <c:max val="180"/>
          <c:min val="165"/>
        </c:scaling>
        <c:delete val="0"/>
        <c:axPos val="b"/>
        <c:majorGridlines>
          <c:spPr>
            <a:ln>
              <a:solidFill>
                <a:schemeClr val="tx1"/>
              </a:solidFill>
            </a:ln>
          </c:spPr>
        </c:majorGridlines>
        <c:title>
          <c:tx>
            <c:rich>
              <a:bodyPr/>
              <a:lstStyle/>
              <a:p>
                <a:pPr>
                  <a:defRPr sz="1200">
                    <a:solidFill>
                      <a:schemeClr val="tx1"/>
                    </a:solidFill>
                  </a:defRPr>
                </a:pPr>
                <a:r>
                  <a:rPr lang="es-ES" sz="1400">
                    <a:solidFill>
                      <a:schemeClr val="tx1"/>
                    </a:solidFill>
                  </a:rPr>
                  <a:t>C.G POSITION - cm From</a:t>
                </a:r>
                <a:r>
                  <a:rPr lang="es-ES" sz="1400" baseline="0">
                    <a:solidFill>
                      <a:schemeClr val="tx1"/>
                    </a:solidFill>
                  </a:rPr>
                  <a:t> Datum</a:t>
                </a:r>
                <a:endParaRPr lang="es-ES" sz="1400">
                  <a:solidFill>
                    <a:schemeClr val="tx1"/>
                  </a:solidFill>
                </a:endParaRPr>
              </a:p>
            </c:rich>
          </c:tx>
          <c:layout>
            <c:manualLayout>
              <c:xMode val="edge"/>
              <c:yMode val="edge"/>
              <c:x val="0.40234332301949155"/>
              <c:y val="0.92624605107187741"/>
            </c:manualLayout>
          </c:layout>
          <c:overlay val="0"/>
          <c:spPr>
            <a:noFill/>
          </c:spPr>
        </c:title>
        <c:numFmt formatCode="General" sourceLinked="1"/>
        <c:majorTickMark val="out"/>
        <c:minorTickMark val="in"/>
        <c:tickLblPos val="nextTo"/>
        <c:spPr>
          <a:noFill/>
          <a:ln>
            <a:solidFill>
              <a:schemeClr val="tx1"/>
            </a:solidFill>
          </a:ln>
        </c:spPr>
        <c:txPr>
          <a:bodyPr/>
          <a:lstStyle/>
          <a:p>
            <a:pPr>
              <a:defRPr>
                <a:solidFill>
                  <a:schemeClr val="tx1"/>
                </a:solidFill>
              </a:defRPr>
            </a:pPr>
            <a:endParaRPr lang="es-CO"/>
          </a:p>
        </c:txPr>
        <c:crossAx val="-2105396368"/>
        <c:crosses val="autoZero"/>
        <c:crossBetween val="midCat"/>
        <c:majorUnit val="1"/>
        <c:minorUnit val="0.1"/>
      </c:valAx>
      <c:valAx>
        <c:axId val="-2105396368"/>
        <c:scaling>
          <c:orientation val="minMax"/>
          <c:max val="650"/>
          <c:min val="300"/>
        </c:scaling>
        <c:delete val="0"/>
        <c:axPos val="l"/>
        <c:majorGridlines>
          <c:spPr>
            <a:ln>
              <a:solidFill>
                <a:schemeClr val="tx1"/>
              </a:solidFill>
            </a:ln>
          </c:spPr>
        </c:majorGridlines>
        <c:title>
          <c:tx>
            <c:rich>
              <a:bodyPr rot="0" vert="horz"/>
              <a:lstStyle/>
              <a:p>
                <a:pPr>
                  <a:defRPr>
                    <a:solidFill>
                      <a:schemeClr val="tx1"/>
                    </a:solidFill>
                  </a:defRPr>
                </a:pPr>
                <a:r>
                  <a:rPr lang="es-ES" sz="1400">
                    <a:solidFill>
                      <a:schemeClr val="tx1"/>
                    </a:solidFill>
                  </a:rPr>
                  <a:t>MASS - kg</a:t>
                </a:r>
              </a:p>
            </c:rich>
          </c:tx>
          <c:layout>
            <c:manualLayout>
              <c:xMode val="edge"/>
              <c:yMode val="edge"/>
              <c:x val="2.1090770999820253E-2"/>
              <c:y val="0.42903699745696572"/>
            </c:manualLayout>
          </c:layout>
          <c:overlay val="0"/>
        </c:title>
        <c:numFmt formatCode="General" sourceLinked="0"/>
        <c:majorTickMark val="out"/>
        <c:minorTickMark val="out"/>
        <c:tickLblPos val="nextTo"/>
        <c:spPr>
          <a:noFill/>
          <a:ln w="12700" cmpd="sng">
            <a:solidFill>
              <a:schemeClr val="tx1"/>
            </a:solidFill>
          </a:ln>
          <a:effectLst>
            <a:outerShdw blurRad="50800" dist="50800" sx="1000" sy="1000" algn="ctr" rotWithShape="0">
              <a:sysClr val="window" lastClr="FFFFFF"/>
            </a:outerShdw>
          </a:effectLst>
        </c:spPr>
        <c:txPr>
          <a:bodyPr/>
          <a:lstStyle/>
          <a:p>
            <a:pPr>
              <a:defRPr>
                <a:solidFill>
                  <a:schemeClr val="tx1"/>
                </a:solidFill>
              </a:defRPr>
            </a:pPr>
            <a:endParaRPr lang="es-CO"/>
          </a:p>
        </c:txPr>
        <c:crossAx val="-2121217168"/>
        <c:crosses val="autoZero"/>
        <c:crossBetween val="midCat"/>
        <c:majorUnit val="50"/>
        <c:minorUnit val="10"/>
      </c:valAx>
      <c:spPr>
        <a:noFill/>
        <a:ln>
          <a:solidFill>
            <a:schemeClr val="tx1"/>
          </a:solidFill>
        </a:ln>
      </c:spPr>
    </c:plotArea>
    <c:plotVisOnly val="0"/>
    <c:dispBlanksAs val="gap"/>
    <c:showDLblsOverMax val="0"/>
  </c:chart>
  <c:spPr>
    <a:noFill/>
    <a:ln w="0">
      <a:noFill/>
    </a:ln>
    <a:scene3d>
      <a:camera prst="orthographicFront"/>
      <a:lightRig rig="threePt" dir="t"/>
    </a:scene3d>
    <a:sp3d>
      <a:bevelT/>
    </a:sp3d>
  </c:spPr>
  <c:txPr>
    <a:bodyPr/>
    <a:lstStyle/>
    <a:p>
      <a:pPr>
        <a:defRPr>
          <a:solidFill>
            <a:schemeClr val="bg1"/>
          </a:solidFill>
          <a:latin typeface="Calibri" panose="020F0502020204030204" pitchFamily="34" charset="0"/>
          <a:cs typeface="Calibri" panose="020F0502020204030204" pitchFamily="34" charset="0"/>
        </a:defRPr>
      </a:pPr>
      <a:endParaRPr lang="es-CO"/>
    </a:p>
  </c:txPr>
  <c:printSettings>
    <c:headerFooter/>
    <c:pageMargins b="0.750000000000001" l="0.70000000000000095" r="0.70000000000000095" t="0.750000000000001"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870113376707645"/>
          <c:y val="4.6157961122661309E-2"/>
          <c:w val="0.75396792467529028"/>
          <c:h val="0.84473065390444924"/>
        </c:manualLayout>
      </c:layout>
      <c:scatterChart>
        <c:scatterStyle val="lineMarker"/>
        <c:varyColors val="0"/>
        <c:ser>
          <c:idx val="2"/>
          <c:order val="0"/>
          <c:tx>
            <c:v>Cessna172N</c:v>
          </c:tx>
          <c:spPr>
            <a:ln w="31750">
              <a:solidFill>
                <a:schemeClr val="tx1"/>
              </a:solidFill>
            </a:ln>
          </c:spPr>
          <c:marker>
            <c:symbol val="none"/>
          </c:marker>
          <c:xVal>
            <c:numRef>
              <c:f>'C172 R-S - BLANCO'!$T$9:$T$13</c:f>
              <c:numCache>
                <c:formatCode>General</c:formatCode>
                <c:ptCount val="5"/>
                <c:pt idx="0">
                  <c:v>35</c:v>
                </c:pt>
                <c:pt idx="1">
                  <c:v>35</c:v>
                </c:pt>
                <c:pt idx="2">
                  <c:v>41</c:v>
                </c:pt>
                <c:pt idx="3">
                  <c:v>47.3</c:v>
                </c:pt>
                <c:pt idx="4">
                  <c:v>47.3</c:v>
                </c:pt>
              </c:numCache>
            </c:numRef>
          </c:xVal>
          <c:yVal>
            <c:numRef>
              <c:f>'C172 R-S - BLANCO'!$U$9:$U$13</c:f>
              <c:numCache>
                <c:formatCode>General</c:formatCode>
                <c:ptCount val="5"/>
                <c:pt idx="0">
                  <c:v>1500</c:v>
                </c:pt>
                <c:pt idx="1">
                  <c:v>1950</c:v>
                </c:pt>
                <c:pt idx="2">
                  <c:v>2550</c:v>
                </c:pt>
                <c:pt idx="3">
                  <c:v>2550</c:v>
                </c:pt>
                <c:pt idx="4">
                  <c:v>1500</c:v>
                </c:pt>
              </c:numCache>
            </c:numRef>
          </c:yVal>
          <c:smooth val="0"/>
          <c:extLst>
            <c:ext xmlns:c16="http://schemas.microsoft.com/office/drawing/2014/chart" uri="{C3380CC4-5D6E-409C-BE32-E72D297353CC}">
              <c16:uniqueId val="{00000000-6D99-DE4A-B57A-609E57FAB4EE}"/>
            </c:ext>
          </c:extLst>
        </c:ser>
        <c:ser>
          <c:idx val="4"/>
          <c:order val="1"/>
          <c:tx>
            <c:v>CG TO LNDG</c:v>
          </c:tx>
          <c:spPr>
            <a:ln w="38100" cap="sq">
              <a:solidFill>
                <a:srgbClr val="FF0000"/>
              </a:solidFill>
              <a:prstDash val="sysDot"/>
              <a:headEnd type="oval"/>
              <a:tailEnd type="triangle"/>
            </a:ln>
          </c:spPr>
          <c:marker>
            <c:symbol val="none"/>
          </c:marker>
          <c:dPt>
            <c:idx val="1"/>
            <c:bubble3D val="0"/>
            <c:spPr>
              <a:ln w="38100" cap="rnd">
                <a:solidFill>
                  <a:srgbClr val="FF0000"/>
                </a:solidFill>
                <a:prstDash val="sysDot"/>
                <a:headEnd type="oval"/>
                <a:tailEnd type="triangle"/>
              </a:ln>
            </c:spPr>
            <c:extLst>
              <c:ext xmlns:c16="http://schemas.microsoft.com/office/drawing/2014/chart" uri="{C3380CC4-5D6E-409C-BE32-E72D297353CC}">
                <c16:uniqueId val="{00000002-6D99-DE4A-B57A-609E57FAB4EE}"/>
              </c:ext>
            </c:extLst>
          </c:dPt>
          <c:xVal>
            <c:numRef>
              <c:f>'C172 R-S - BLANCO'!$T$17:$T$18</c:f>
              <c:numCache>
                <c:formatCode>0.000</c:formatCode>
                <c:ptCount val="2"/>
              </c:numCache>
            </c:numRef>
          </c:xVal>
          <c:yVal>
            <c:numRef>
              <c:f>'C172 R-S - BLANCO'!$U$17:$U$18</c:f>
              <c:numCache>
                <c:formatCode>0.000</c:formatCode>
                <c:ptCount val="2"/>
              </c:numCache>
            </c:numRef>
          </c:yVal>
          <c:smooth val="0"/>
          <c:extLst>
            <c:ext xmlns:c16="http://schemas.microsoft.com/office/drawing/2014/chart" uri="{C3380CC4-5D6E-409C-BE32-E72D297353CC}">
              <c16:uniqueId val="{00000003-6D99-DE4A-B57A-609E57FAB4EE}"/>
            </c:ext>
          </c:extLst>
        </c:ser>
        <c:ser>
          <c:idx val="0"/>
          <c:order val="2"/>
          <c:tx>
            <c:v>Cessna172U</c:v>
          </c:tx>
          <c:spPr>
            <a:ln w="31750">
              <a:solidFill>
                <a:schemeClr val="tx1"/>
              </a:solidFill>
            </a:ln>
          </c:spPr>
          <c:marker>
            <c:symbol val="none"/>
          </c:marker>
          <c:xVal>
            <c:numRef>
              <c:f>'C172 R-S - BLANCO'!$V$9:$V$13</c:f>
              <c:numCache>
                <c:formatCode>General</c:formatCode>
                <c:ptCount val="5"/>
                <c:pt idx="0">
                  <c:v>35</c:v>
                </c:pt>
                <c:pt idx="1">
                  <c:v>35</c:v>
                </c:pt>
                <c:pt idx="2">
                  <c:v>37.5</c:v>
                </c:pt>
                <c:pt idx="3">
                  <c:v>40.5</c:v>
                </c:pt>
                <c:pt idx="4">
                  <c:v>40.5</c:v>
                </c:pt>
              </c:numCache>
            </c:numRef>
          </c:xVal>
          <c:yVal>
            <c:numRef>
              <c:f>'C172 R-S - BLANCO'!$W$9:$W$13</c:f>
              <c:numCache>
                <c:formatCode>General</c:formatCode>
                <c:ptCount val="5"/>
                <c:pt idx="0">
                  <c:v>1500</c:v>
                </c:pt>
                <c:pt idx="1">
                  <c:v>1950</c:v>
                </c:pt>
                <c:pt idx="2">
                  <c:v>2200</c:v>
                </c:pt>
                <c:pt idx="3">
                  <c:v>2200</c:v>
                </c:pt>
                <c:pt idx="4">
                  <c:v>1500</c:v>
                </c:pt>
              </c:numCache>
            </c:numRef>
          </c:yVal>
          <c:smooth val="0"/>
          <c:extLst>
            <c:ext xmlns:c16="http://schemas.microsoft.com/office/drawing/2014/chart" uri="{C3380CC4-5D6E-409C-BE32-E72D297353CC}">
              <c16:uniqueId val="{00000004-6D99-DE4A-B57A-609E57FAB4EE}"/>
            </c:ext>
          </c:extLst>
        </c:ser>
        <c:dLbls>
          <c:showLegendKey val="0"/>
          <c:showVal val="0"/>
          <c:showCatName val="0"/>
          <c:showSerName val="0"/>
          <c:showPercent val="0"/>
          <c:showBubbleSize val="0"/>
        </c:dLbls>
        <c:axId val="-2121217168"/>
        <c:axId val="-2105396368"/>
      </c:scatterChart>
      <c:valAx>
        <c:axId val="-2121217168"/>
        <c:scaling>
          <c:orientation val="minMax"/>
          <c:max val="49"/>
          <c:min val="34"/>
        </c:scaling>
        <c:delete val="0"/>
        <c:axPos val="b"/>
        <c:majorGridlines>
          <c:spPr>
            <a:ln>
              <a:solidFill>
                <a:schemeClr val="tx1"/>
              </a:solidFill>
            </a:ln>
          </c:spPr>
        </c:majorGridlines>
        <c:title>
          <c:tx>
            <c:rich>
              <a:bodyPr/>
              <a:lstStyle/>
              <a:p>
                <a:pPr>
                  <a:defRPr sz="1200">
                    <a:solidFill>
                      <a:schemeClr val="tx1"/>
                    </a:solidFill>
                  </a:defRPr>
                </a:pPr>
                <a:r>
                  <a:rPr lang="es-ES" sz="1200">
                    <a:solidFill>
                      <a:schemeClr val="tx1"/>
                    </a:solidFill>
                  </a:rPr>
                  <a:t>AIRPLANE C.G. LOCATION - INCHES AFT OF DATUM (STA 0.0)</a:t>
                </a:r>
              </a:p>
            </c:rich>
          </c:tx>
          <c:layout>
            <c:manualLayout>
              <c:xMode val="edge"/>
              <c:yMode val="edge"/>
              <c:x val="0.25934496127535389"/>
              <c:y val="0.94224883753431865"/>
            </c:manualLayout>
          </c:layout>
          <c:overlay val="0"/>
          <c:spPr>
            <a:noFill/>
          </c:spPr>
        </c:title>
        <c:numFmt formatCode="General" sourceLinked="1"/>
        <c:majorTickMark val="out"/>
        <c:minorTickMark val="in"/>
        <c:tickLblPos val="nextTo"/>
        <c:spPr>
          <a:noFill/>
          <a:ln>
            <a:solidFill>
              <a:schemeClr val="tx1"/>
            </a:solidFill>
          </a:ln>
        </c:spPr>
        <c:txPr>
          <a:bodyPr/>
          <a:lstStyle/>
          <a:p>
            <a:pPr>
              <a:defRPr>
                <a:solidFill>
                  <a:schemeClr val="tx1"/>
                </a:solidFill>
              </a:defRPr>
            </a:pPr>
            <a:endParaRPr lang="es-CO"/>
          </a:p>
        </c:txPr>
        <c:crossAx val="-2105396368"/>
        <c:crosses val="autoZero"/>
        <c:crossBetween val="midCat"/>
        <c:majorUnit val="1"/>
        <c:minorUnit val="0.1"/>
      </c:valAx>
      <c:valAx>
        <c:axId val="-2105396368"/>
        <c:scaling>
          <c:orientation val="minMax"/>
          <c:max val="2600"/>
          <c:min val="1500"/>
        </c:scaling>
        <c:delete val="0"/>
        <c:axPos val="l"/>
        <c:majorGridlines>
          <c:spPr>
            <a:ln>
              <a:solidFill>
                <a:schemeClr val="tx1"/>
              </a:solidFill>
            </a:ln>
          </c:spPr>
        </c:majorGridlines>
        <c:title>
          <c:tx>
            <c:rich>
              <a:bodyPr rot="-5400000" vert="horz"/>
              <a:lstStyle/>
              <a:p>
                <a:pPr>
                  <a:defRPr>
                    <a:solidFill>
                      <a:schemeClr val="tx1"/>
                    </a:solidFill>
                  </a:defRPr>
                </a:pPr>
                <a:r>
                  <a:rPr lang="es-ES" sz="1200">
                    <a:solidFill>
                      <a:schemeClr val="tx1"/>
                    </a:solidFill>
                  </a:rPr>
                  <a:t>LOADED AIRPLANE WEIGHT</a:t>
                </a:r>
                <a:r>
                  <a:rPr lang="es-ES" sz="1200" baseline="0">
                    <a:solidFill>
                      <a:schemeClr val="tx1"/>
                    </a:solidFill>
                  </a:rPr>
                  <a:t> (PUNDS)</a:t>
                </a:r>
                <a:endParaRPr lang="es-ES" sz="1200">
                  <a:solidFill>
                    <a:schemeClr val="tx1"/>
                  </a:solidFill>
                </a:endParaRPr>
              </a:p>
            </c:rich>
          </c:tx>
          <c:layout>
            <c:manualLayout>
              <c:xMode val="edge"/>
              <c:yMode val="edge"/>
              <c:x val="5.4846370492290193E-2"/>
              <c:y val="0.2424975327883104"/>
            </c:manualLayout>
          </c:layout>
          <c:overlay val="0"/>
        </c:title>
        <c:numFmt formatCode="General" sourceLinked="0"/>
        <c:majorTickMark val="out"/>
        <c:minorTickMark val="out"/>
        <c:tickLblPos val="nextTo"/>
        <c:spPr>
          <a:noFill/>
          <a:ln w="12700" cmpd="sng">
            <a:solidFill>
              <a:schemeClr val="tx1"/>
            </a:solidFill>
          </a:ln>
          <a:effectLst>
            <a:outerShdw blurRad="50800" dist="50800" sx="1000" sy="1000" algn="ctr" rotWithShape="0">
              <a:sysClr val="window" lastClr="FFFFFF"/>
            </a:outerShdw>
          </a:effectLst>
        </c:spPr>
        <c:txPr>
          <a:bodyPr/>
          <a:lstStyle/>
          <a:p>
            <a:pPr>
              <a:defRPr>
                <a:solidFill>
                  <a:schemeClr val="tx1"/>
                </a:solidFill>
              </a:defRPr>
            </a:pPr>
            <a:endParaRPr lang="es-CO"/>
          </a:p>
        </c:txPr>
        <c:crossAx val="-2121217168"/>
        <c:crosses val="autoZero"/>
        <c:crossBetween val="midCat"/>
        <c:majorUnit val="100"/>
        <c:minorUnit val="10"/>
      </c:valAx>
      <c:spPr>
        <a:noFill/>
        <a:ln>
          <a:solidFill>
            <a:schemeClr val="tx1"/>
          </a:solidFill>
        </a:ln>
      </c:spPr>
    </c:plotArea>
    <c:plotVisOnly val="0"/>
    <c:dispBlanksAs val="gap"/>
    <c:showDLblsOverMax val="0"/>
  </c:chart>
  <c:spPr>
    <a:noFill/>
    <a:ln w="0">
      <a:noFill/>
    </a:ln>
    <a:scene3d>
      <a:camera prst="orthographicFront"/>
      <a:lightRig rig="threePt" dir="t"/>
    </a:scene3d>
    <a:sp3d>
      <a:bevelT/>
    </a:sp3d>
  </c:spPr>
  <c:txPr>
    <a:bodyPr/>
    <a:lstStyle/>
    <a:p>
      <a:pPr>
        <a:defRPr>
          <a:solidFill>
            <a:schemeClr val="bg1"/>
          </a:solidFill>
          <a:latin typeface="Calibri" panose="020F0502020204030204" pitchFamily="34" charset="0"/>
          <a:cs typeface="Calibri" panose="020F0502020204030204" pitchFamily="34" charset="0"/>
        </a:defRPr>
      </a:pPr>
      <a:endParaRPr lang="es-CO"/>
    </a:p>
  </c:txPr>
  <c:printSettings>
    <c:headerFooter/>
    <c:pageMargins b="0.750000000000001" l="0.70000000000000095" r="0.70000000000000095" t="0.750000000000001"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959759072731023"/>
          <c:y val="7.0212914612641814E-2"/>
          <c:w val="0.74745465007066281"/>
          <c:h val="0.78802960978157843"/>
        </c:manualLayout>
      </c:layout>
      <c:scatterChart>
        <c:scatterStyle val="lineMarker"/>
        <c:varyColors val="0"/>
        <c:ser>
          <c:idx val="2"/>
          <c:order val="0"/>
          <c:tx>
            <c:v>580</c:v>
          </c:tx>
          <c:marker>
            <c:symbol val="none"/>
          </c:marker>
          <c:xVal>
            <c:numLit>
              <c:ptCount val="0"/>
            </c:numLit>
          </c:xVal>
          <c:yVal>
            <c:numLit>
              <c:formatCode>General</c:formatCode>
              <c:ptCount val="1"/>
              <c:pt idx="0">
                <c:v>1</c:v>
              </c:pt>
            </c:numLit>
          </c:yVal>
          <c:smooth val="0"/>
          <c:extLst>
            <c:ext xmlns:c16="http://schemas.microsoft.com/office/drawing/2014/chart" uri="{C3380CC4-5D6E-409C-BE32-E72D297353CC}">
              <c16:uniqueId val="{00000000-837C-3947-9790-31A3F0649C25}"/>
            </c:ext>
          </c:extLst>
        </c:ser>
        <c:ser>
          <c:idx val="4"/>
          <c:order val="1"/>
          <c:tx>
            <c:v>CG TO LNDG</c:v>
          </c:tx>
          <c:marker>
            <c:symbol val="none"/>
          </c:marker>
          <c:xVal>
            <c:numRef>
              <c:f>'P2002JF - BLANCO'!$T$16:$T$17</c:f>
              <c:numCache>
                <c:formatCode>General</c:formatCode>
                <c:ptCount val="2"/>
              </c:numCache>
            </c:numRef>
          </c:xVal>
          <c:yVal>
            <c:numRef>
              <c:f>'P2002JF - BLANCO'!$U$16:$U$17</c:f>
              <c:numCache>
                <c:formatCode>0.000</c:formatCode>
                <c:ptCount val="2"/>
              </c:numCache>
            </c:numRef>
          </c:yVal>
          <c:smooth val="0"/>
          <c:extLst>
            <c:ext xmlns:c16="http://schemas.microsoft.com/office/drawing/2014/chart" uri="{C3380CC4-5D6E-409C-BE32-E72D297353CC}">
              <c16:uniqueId val="{00000001-837C-3947-9790-31A3F0649C25}"/>
            </c:ext>
          </c:extLst>
        </c:ser>
        <c:ser>
          <c:idx val="0"/>
          <c:order val="2"/>
          <c:tx>
            <c:v>600</c:v>
          </c:tx>
          <c:marker>
            <c:symbol val="none"/>
          </c:marker>
          <c:xVal>
            <c:numLit>
              <c:ptCount val="0"/>
            </c:numLit>
          </c:xVal>
          <c:yVal>
            <c:numLit>
              <c:formatCode>General</c:formatCode>
              <c:ptCount val="1"/>
              <c:pt idx="0">
                <c:v>1</c:v>
              </c:pt>
            </c:numLit>
          </c:yVal>
          <c:smooth val="0"/>
          <c:extLst>
            <c:ext xmlns:c16="http://schemas.microsoft.com/office/drawing/2014/chart" uri="{C3380CC4-5D6E-409C-BE32-E72D297353CC}">
              <c16:uniqueId val="{00000002-837C-3947-9790-31A3F0649C25}"/>
            </c:ext>
          </c:extLst>
        </c:ser>
        <c:ser>
          <c:idx val="1"/>
          <c:order val="3"/>
          <c:tx>
            <c:v>620</c:v>
          </c:tx>
          <c:spPr>
            <a:ln>
              <a:solidFill>
                <a:schemeClr val="tx1"/>
              </a:solidFill>
            </a:ln>
          </c:spPr>
          <c:marker>
            <c:symbol val="none"/>
          </c:marker>
          <c:xVal>
            <c:numRef>
              <c:f>'P2002JF - BLANCO'!$X$9:$X$12</c:f>
              <c:numCache>
                <c:formatCode>General</c:formatCode>
                <c:ptCount val="4"/>
                <c:pt idx="0">
                  <c:v>169.3</c:v>
                </c:pt>
                <c:pt idx="1">
                  <c:v>169.3</c:v>
                </c:pt>
                <c:pt idx="2">
                  <c:v>178.2</c:v>
                </c:pt>
                <c:pt idx="3">
                  <c:v>178.2</c:v>
                </c:pt>
              </c:numCache>
            </c:numRef>
          </c:xVal>
          <c:yVal>
            <c:numRef>
              <c:f>'P2002JF - BLANCO'!$Y$9:$Y$12</c:f>
              <c:numCache>
                <c:formatCode>General</c:formatCode>
                <c:ptCount val="4"/>
                <c:pt idx="0">
                  <c:v>337</c:v>
                </c:pt>
                <c:pt idx="1">
                  <c:v>620</c:v>
                </c:pt>
                <c:pt idx="2">
                  <c:v>620</c:v>
                </c:pt>
                <c:pt idx="3">
                  <c:v>337</c:v>
                </c:pt>
              </c:numCache>
            </c:numRef>
          </c:yVal>
          <c:smooth val="0"/>
          <c:extLst>
            <c:ext xmlns:c16="http://schemas.microsoft.com/office/drawing/2014/chart" uri="{C3380CC4-5D6E-409C-BE32-E72D297353CC}">
              <c16:uniqueId val="{00000003-837C-3947-9790-31A3F0649C25}"/>
            </c:ext>
          </c:extLst>
        </c:ser>
        <c:ser>
          <c:idx val="3"/>
          <c:order val="4"/>
          <c:tx>
            <c:v>337</c:v>
          </c:tx>
          <c:marker>
            <c:symbol val="none"/>
          </c:marker>
          <c:xVal>
            <c:numRef>
              <c:f>'P2002JF - BLANCO'!$AB$7:$AB$8</c:f>
              <c:numCache>
                <c:formatCode>0.0</c:formatCode>
                <c:ptCount val="2"/>
                <c:pt idx="0">
                  <c:v>169.3</c:v>
                </c:pt>
                <c:pt idx="1">
                  <c:v>178.2</c:v>
                </c:pt>
              </c:numCache>
            </c:numRef>
          </c:xVal>
          <c:yVal>
            <c:numRef>
              <c:f>'P2002JF - BLANCO'!$AC$7:$AC$8</c:f>
              <c:numCache>
                <c:formatCode>0.0</c:formatCode>
                <c:ptCount val="2"/>
                <c:pt idx="0">
                  <c:v>337</c:v>
                </c:pt>
                <c:pt idx="1">
                  <c:v>337</c:v>
                </c:pt>
              </c:numCache>
            </c:numRef>
          </c:yVal>
          <c:smooth val="0"/>
          <c:extLst>
            <c:ext xmlns:c16="http://schemas.microsoft.com/office/drawing/2014/chart" uri="{C3380CC4-5D6E-409C-BE32-E72D297353CC}">
              <c16:uniqueId val="{00000004-837C-3947-9790-31A3F0649C25}"/>
            </c:ext>
          </c:extLst>
        </c:ser>
        <c:ser>
          <c:idx val="5"/>
          <c:order val="5"/>
          <c:tx>
            <c:v>402</c:v>
          </c:tx>
          <c:spPr>
            <a:ln>
              <a:solidFill>
                <a:schemeClr val="tx1"/>
              </a:solidFill>
            </a:ln>
          </c:spPr>
          <c:marker>
            <c:symbol val="none"/>
          </c:marker>
          <c:xVal>
            <c:numRef>
              <c:f>'P2002JF - BLANCO'!$AB$9:$AB$10</c:f>
              <c:numCache>
                <c:formatCode>0.0</c:formatCode>
                <c:ptCount val="2"/>
                <c:pt idx="0">
                  <c:v>164</c:v>
                </c:pt>
                <c:pt idx="1">
                  <c:v>178.2</c:v>
                </c:pt>
              </c:numCache>
            </c:numRef>
          </c:xVal>
          <c:yVal>
            <c:numRef>
              <c:f>'P2002JF - BLANCO'!$AC$9:$AC$10</c:f>
              <c:numCache>
                <c:formatCode>0.0</c:formatCode>
                <c:ptCount val="2"/>
                <c:pt idx="0">
                  <c:v>402</c:v>
                </c:pt>
                <c:pt idx="1">
                  <c:v>402</c:v>
                </c:pt>
              </c:numCache>
            </c:numRef>
          </c:yVal>
          <c:smooth val="0"/>
          <c:extLst>
            <c:ext xmlns:c16="http://schemas.microsoft.com/office/drawing/2014/chart" uri="{C3380CC4-5D6E-409C-BE32-E72D297353CC}">
              <c16:uniqueId val="{00000005-837C-3947-9790-31A3F0649C25}"/>
            </c:ext>
          </c:extLst>
        </c:ser>
        <c:ser>
          <c:idx val="6"/>
          <c:order val="6"/>
          <c:tx>
            <c:v>337min</c:v>
          </c:tx>
          <c:spPr>
            <a:ln>
              <a:solidFill>
                <a:schemeClr val="tx1"/>
              </a:solidFill>
            </a:ln>
          </c:spPr>
          <c:marker>
            <c:symbol val="none"/>
          </c:marker>
          <c:xVal>
            <c:numRef>
              <c:f>'P2002JF - BLANCO'!$AB$11:$AB$12</c:f>
              <c:numCache>
                <c:formatCode>0.0</c:formatCode>
                <c:ptCount val="2"/>
                <c:pt idx="0">
                  <c:v>164</c:v>
                </c:pt>
                <c:pt idx="1">
                  <c:v>178.2</c:v>
                </c:pt>
              </c:numCache>
            </c:numRef>
          </c:xVal>
          <c:yVal>
            <c:numRef>
              <c:f>'P2002JF - BLANCO'!$AC$11:$AC$12</c:f>
              <c:numCache>
                <c:formatCode>0.0</c:formatCode>
                <c:ptCount val="2"/>
                <c:pt idx="0">
                  <c:v>337</c:v>
                </c:pt>
                <c:pt idx="1">
                  <c:v>337</c:v>
                </c:pt>
              </c:numCache>
            </c:numRef>
          </c:yVal>
          <c:smooth val="0"/>
          <c:extLst>
            <c:ext xmlns:c16="http://schemas.microsoft.com/office/drawing/2014/chart" uri="{C3380CC4-5D6E-409C-BE32-E72D297353CC}">
              <c16:uniqueId val="{00000006-837C-3947-9790-31A3F0649C25}"/>
            </c:ext>
          </c:extLst>
        </c:ser>
        <c:ser>
          <c:idx val="7"/>
          <c:order val="7"/>
          <c:tx>
            <c:v>580min</c:v>
          </c:tx>
          <c:spPr>
            <a:ln>
              <a:solidFill>
                <a:schemeClr val="tx1"/>
              </a:solidFill>
            </a:ln>
          </c:spPr>
          <c:marker>
            <c:symbol val="none"/>
          </c:marker>
          <c:xVal>
            <c:numRef>
              <c:f>'P2002JF - BLANCO'!$AE$7:$AE$8</c:f>
              <c:numCache>
                <c:formatCode>0.0</c:formatCode>
                <c:ptCount val="2"/>
                <c:pt idx="0">
                  <c:v>164</c:v>
                </c:pt>
                <c:pt idx="1">
                  <c:v>178.2</c:v>
                </c:pt>
              </c:numCache>
            </c:numRef>
          </c:xVal>
          <c:yVal>
            <c:numRef>
              <c:f>'P2002JF - BLANCO'!$AF$7:$AF$8</c:f>
              <c:numCache>
                <c:formatCode>0.0</c:formatCode>
                <c:ptCount val="2"/>
                <c:pt idx="0">
                  <c:v>580</c:v>
                </c:pt>
                <c:pt idx="1">
                  <c:v>580</c:v>
                </c:pt>
              </c:numCache>
            </c:numRef>
          </c:yVal>
          <c:smooth val="0"/>
          <c:extLst>
            <c:ext xmlns:c16="http://schemas.microsoft.com/office/drawing/2014/chart" uri="{C3380CC4-5D6E-409C-BE32-E72D297353CC}">
              <c16:uniqueId val="{00000007-837C-3947-9790-31A3F0649C25}"/>
            </c:ext>
          </c:extLst>
        </c:ser>
        <c:ser>
          <c:idx val="8"/>
          <c:order val="8"/>
          <c:tx>
            <c:v>600min</c:v>
          </c:tx>
          <c:spPr>
            <a:ln>
              <a:solidFill>
                <a:schemeClr val="tx1"/>
              </a:solidFill>
            </a:ln>
          </c:spPr>
          <c:marker>
            <c:symbol val="none"/>
          </c:marker>
          <c:xVal>
            <c:numRef>
              <c:f>'P2002JF - BLANCO'!$AE$9:$AE$10</c:f>
              <c:numCache>
                <c:formatCode>0.0</c:formatCode>
                <c:ptCount val="2"/>
                <c:pt idx="0">
                  <c:v>164</c:v>
                </c:pt>
                <c:pt idx="1">
                  <c:v>178.2</c:v>
                </c:pt>
              </c:numCache>
            </c:numRef>
          </c:xVal>
          <c:yVal>
            <c:numRef>
              <c:f>'P2002JF - BLANCO'!$AF$9:$AF$10</c:f>
              <c:numCache>
                <c:formatCode>0.0</c:formatCode>
                <c:ptCount val="2"/>
                <c:pt idx="0">
                  <c:v>600</c:v>
                </c:pt>
                <c:pt idx="1">
                  <c:v>600</c:v>
                </c:pt>
              </c:numCache>
            </c:numRef>
          </c:yVal>
          <c:smooth val="0"/>
          <c:extLst>
            <c:ext xmlns:c16="http://schemas.microsoft.com/office/drawing/2014/chart" uri="{C3380CC4-5D6E-409C-BE32-E72D297353CC}">
              <c16:uniqueId val="{00000008-837C-3947-9790-31A3F0649C25}"/>
            </c:ext>
          </c:extLst>
        </c:ser>
        <c:ser>
          <c:idx val="9"/>
          <c:order val="9"/>
          <c:tx>
            <c:v>620min</c:v>
          </c:tx>
          <c:spPr>
            <a:ln>
              <a:solidFill>
                <a:schemeClr val="tx1"/>
              </a:solidFill>
            </a:ln>
          </c:spPr>
          <c:marker>
            <c:symbol val="none"/>
          </c:marker>
          <c:xVal>
            <c:numRef>
              <c:f>'P2002JF - BLANCO'!$AE$11:$AE$12</c:f>
              <c:numCache>
                <c:formatCode>0.0</c:formatCode>
                <c:ptCount val="2"/>
                <c:pt idx="0">
                  <c:v>164</c:v>
                </c:pt>
                <c:pt idx="1">
                  <c:v>178.2</c:v>
                </c:pt>
              </c:numCache>
            </c:numRef>
          </c:xVal>
          <c:yVal>
            <c:numRef>
              <c:f>'P2002JF - BLANCO'!$AF$11:$AF$12</c:f>
              <c:numCache>
                <c:formatCode>0.0</c:formatCode>
                <c:ptCount val="2"/>
                <c:pt idx="0">
                  <c:v>620</c:v>
                </c:pt>
                <c:pt idx="1">
                  <c:v>620</c:v>
                </c:pt>
              </c:numCache>
            </c:numRef>
          </c:yVal>
          <c:smooth val="0"/>
          <c:extLst>
            <c:ext xmlns:c16="http://schemas.microsoft.com/office/drawing/2014/chart" uri="{C3380CC4-5D6E-409C-BE32-E72D297353CC}">
              <c16:uniqueId val="{00000009-837C-3947-9790-31A3F0649C25}"/>
            </c:ext>
          </c:extLst>
        </c:ser>
        <c:dLbls>
          <c:showLegendKey val="0"/>
          <c:showVal val="0"/>
          <c:showCatName val="0"/>
          <c:showSerName val="0"/>
          <c:showPercent val="0"/>
          <c:showBubbleSize val="0"/>
        </c:dLbls>
        <c:axId val="-2121217168"/>
        <c:axId val="-2105396368"/>
      </c:scatterChart>
      <c:valAx>
        <c:axId val="-2121217168"/>
        <c:scaling>
          <c:orientation val="minMax"/>
          <c:max val="180"/>
          <c:min val="165"/>
        </c:scaling>
        <c:delete val="0"/>
        <c:axPos val="b"/>
        <c:majorGridlines>
          <c:spPr>
            <a:ln>
              <a:solidFill>
                <a:schemeClr val="tx1"/>
              </a:solidFill>
            </a:ln>
          </c:spPr>
        </c:majorGridlines>
        <c:title>
          <c:tx>
            <c:rich>
              <a:bodyPr/>
              <a:lstStyle/>
              <a:p>
                <a:pPr>
                  <a:defRPr sz="1200">
                    <a:solidFill>
                      <a:schemeClr val="tx1"/>
                    </a:solidFill>
                  </a:defRPr>
                </a:pPr>
                <a:r>
                  <a:rPr lang="es-ES" sz="1400">
                    <a:solidFill>
                      <a:schemeClr val="tx1"/>
                    </a:solidFill>
                  </a:rPr>
                  <a:t>C.G POSITION - cm From</a:t>
                </a:r>
                <a:r>
                  <a:rPr lang="es-ES" sz="1400" baseline="0">
                    <a:solidFill>
                      <a:schemeClr val="tx1"/>
                    </a:solidFill>
                  </a:rPr>
                  <a:t> Datum</a:t>
                </a:r>
                <a:endParaRPr lang="es-ES" sz="1400">
                  <a:solidFill>
                    <a:schemeClr val="tx1"/>
                  </a:solidFill>
                </a:endParaRPr>
              </a:p>
            </c:rich>
          </c:tx>
          <c:layout>
            <c:manualLayout>
              <c:xMode val="edge"/>
              <c:yMode val="edge"/>
              <c:x val="0.40234332301949155"/>
              <c:y val="0.92624605107187741"/>
            </c:manualLayout>
          </c:layout>
          <c:overlay val="0"/>
          <c:spPr>
            <a:noFill/>
          </c:spPr>
        </c:title>
        <c:numFmt formatCode="General" sourceLinked="1"/>
        <c:majorTickMark val="out"/>
        <c:minorTickMark val="in"/>
        <c:tickLblPos val="nextTo"/>
        <c:spPr>
          <a:noFill/>
          <a:ln>
            <a:solidFill>
              <a:schemeClr val="tx1"/>
            </a:solidFill>
          </a:ln>
        </c:spPr>
        <c:txPr>
          <a:bodyPr/>
          <a:lstStyle/>
          <a:p>
            <a:pPr>
              <a:defRPr>
                <a:solidFill>
                  <a:schemeClr val="tx1"/>
                </a:solidFill>
              </a:defRPr>
            </a:pPr>
            <a:endParaRPr lang="es-CO"/>
          </a:p>
        </c:txPr>
        <c:crossAx val="-2105396368"/>
        <c:crosses val="autoZero"/>
        <c:crossBetween val="midCat"/>
        <c:majorUnit val="1"/>
        <c:minorUnit val="0.1"/>
      </c:valAx>
      <c:valAx>
        <c:axId val="-2105396368"/>
        <c:scaling>
          <c:orientation val="minMax"/>
          <c:max val="650"/>
          <c:min val="300"/>
        </c:scaling>
        <c:delete val="0"/>
        <c:axPos val="l"/>
        <c:majorGridlines>
          <c:spPr>
            <a:ln>
              <a:solidFill>
                <a:schemeClr val="tx1"/>
              </a:solidFill>
            </a:ln>
          </c:spPr>
        </c:majorGridlines>
        <c:title>
          <c:tx>
            <c:rich>
              <a:bodyPr rot="0" vert="horz"/>
              <a:lstStyle/>
              <a:p>
                <a:pPr>
                  <a:defRPr>
                    <a:solidFill>
                      <a:schemeClr val="tx1"/>
                    </a:solidFill>
                  </a:defRPr>
                </a:pPr>
                <a:r>
                  <a:rPr lang="es-ES" sz="1400">
                    <a:solidFill>
                      <a:schemeClr val="tx1"/>
                    </a:solidFill>
                  </a:rPr>
                  <a:t>MASS - kg</a:t>
                </a:r>
              </a:p>
            </c:rich>
          </c:tx>
          <c:layout>
            <c:manualLayout>
              <c:xMode val="edge"/>
              <c:yMode val="edge"/>
              <c:x val="2.1090770999820253E-2"/>
              <c:y val="0.42903699745696572"/>
            </c:manualLayout>
          </c:layout>
          <c:overlay val="0"/>
        </c:title>
        <c:numFmt formatCode="General" sourceLinked="0"/>
        <c:majorTickMark val="out"/>
        <c:minorTickMark val="out"/>
        <c:tickLblPos val="nextTo"/>
        <c:spPr>
          <a:noFill/>
          <a:ln w="12700" cmpd="sng">
            <a:solidFill>
              <a:schemeClr val="tx1"/>
            </a:solidFill>
          </a:ln>
          <a:effectLst>
            <a:outerShdw blurRad="50800" dist="50800" sx="1000" sy="1000" algn="ctr" rotWithShape="0">
              <a:sysClr val="window" lastClr="FFFFFF"/>
            </a:outerShdw>
          </a:effectLst>
        </c:spPr>
        <c:txPr>
          <a:bodyPr/>
          <a:lstStyle/>
          <a:p>
            <a:pPr>
              <a:defRPr>
                <a:solidFill>
                  <a:schemeClr val="tx1"/>
                </a:solidFill>
              </a:defRPr>
            </a:pPr>
            <a:endParaRPr lang="es-CO"/>
          </a:p>
        </c:txPr>
        <c:crossAx val="-2121217168"/>
        <c:crosses val="autoZero"/>
        <c:crossBetween val="midCat"/>
        <c:majorUnit val="50"/>
        <c:minorUnit val="10"/>
      </c:valAx>
      <c:spPr>
        <a:noFill/>
        <a:ln>
          <a:solidFill>
            <a:schemeClr val="tx1"/>
          </a:solidFill>
        </a:ln>
      </c:spPr>
    </c:plotArea>
    <c:plotVisOnly val="0"/>
    <c:dispBlanksAs val="gap"/>
    <c:showDLblsOverMax val="0"/>
  </c:chart>
  <c:spPr>
    <a:noFill/>
    <a:ln w="0">
      <a:noFill/>
    </a:ln>
    <a:scene3d>
      <a:camera prst="orthographicFront"/>
      <a:lightRig rig="threePt" dir="t"/>
    </a:scene3d>
    <a:sp3d>
      <a:bevelT/>
    </a:sp3d>
  </c:spPr>
  <c:txPr>
    <a:bodyPr/>
    <a:lstStyle/>
    <a:p>
      <a:pPr>
        <a:defRPr>
          <a:solidFill>
            <a:schemeClr val="bg1"/>
          </a:solidFill>
          <a:latin typeface="Calibri" panose="020F0502020204030204" pitchFamily="34" charset="0"/>
          <a:cs typeface="Calibri" panose="020F0502020204030204" pitchFamily="34" charset="0"/>
        </a:defRPr>
      </a:pPr>
      <a:endParaRPr lang="es-CO"/>
    </a:p>
  </c:txPr>
  <c:printSettings>
    <c:headerFooter/>
    <c:pageMargins b="0.750000000000001" l="0.70000000000000095" r="0.70000000000000095" t="0.750000000000001" header="0.3" footer="0.3"/>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xml"/></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24</xdr:col>
      <xdr:colOff>50800</xdr:colOff>
      <xdr:row>22</xdr:row>
      <xdr:rowOff>355600</xdr:rowOff>
    </xdr:from>
    <xdr:to>
      <xdr:col>27</xdr:col>
      <xdr:colOff>1917700</xdr:colOff>
      <xdr:row>42</xdr:row>
      <xdr:rowOff>355600</xdr:rowOff>
    </xdr:to>
    <xdr:graphicFrame macro="">
      <xdr:nvGraphicFramePr>
        <xdr:cNvPr id="2" name="1 Gráfico">
          <a:extLst>
            <a:ext uri="{FF2B5EF4-FFF2-40B4-BE49-F238E27FC236}">
              <a16:creationId xmlns:a16="http://schemas.microsoft.com/office/drawing/2014/main" id="{CA8B20FC-2F93-E94C-B499-EBF8136D0D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258366</xdr:colOff>
      <xdr:row>1</xdr:row>
      <xdr:rowOff>348042</xdr:rowOff>
    </xdr:from>
    <xdr:ext cx="1672034" cy="913492"/>
    <xdr:pic>
      <xdr:nvPicPr>
        <xdr:cNvPr id="5" name="Picture 1">
          <a:extLst>
            <a:ext uri="{FF2B5EF4-FFF2-40B4-BE49-F238E27FC236}">
              <a16:creationId xmlns:a16="http://schemas.microsoft.com/office/drawing/2014/main" id="{48E8A70E-313D-044E-9775-22C94F49D60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96566" y="729042"/>
          <a:ext cx="1672034" cy="913492"/>
        </a:xfrm>
        <a:prstGeom prst="rect">
          <a:avLst/>
        </a:prstGeom>
      </xdr:spPr>
    </xdr:pic>
    <xdr:clientData/>
  </xdr:oneCellAnchor>
  <xdr:oneCellAnchor>
    <xdr:from>
      <xdr:col>1</xdr:col>
      <xdr:colOff>258366</xdr:colOff>
      <xdr:row>46</xdr:row>
      <xdr:rowOff>271842</xdr:rowOff>
    </xdr:from>
    <xdr:ext cx="1672034" cy="913492"/>
    <xdr:pic>
      <xdr:nvPicPr>
        <xdr:cNvPr id="3" name="Picture 1">
          <a:extLst>
            <a:ext uri="{FF2B5EF4-FFF2-40B4-BE49-F238E27FC236}">
              <a16:creationId xmlns:a16="http://schemas.microsoft.com/office/drawing/2014/main" id="{89787A2A-989E-C448-9588-5E80F8F0E55E}"/>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96566" y="652842"/>
          <a:ext cx="1672034" cy="913492"/>
        </a:xfrm>
        <a:prstGeom prst="rect">
          <a:avLst/>
        </a:prstGeom>
      </xdr:spPr>
    </xdr:pic>
    <xdr:clientData/>
  </xdr:oneCellAnchor>
  <xdr:oneCellAnchor>
    <xdr:from>
      <xdr:col>1</xdr:col>
      <xdr:colOff>258366</xdr:colOff>
      <xdr:row>46</xdr:row>
      <xdr:rowOff>271842</xdr:rowOff>
    </xdr:from>
    <xdr:ext cx="1672034" cy="913492"/>
    <xdr:pic>
      <xdr:nvPicPr>
        <xdr:cNvPr id="7" name="Picture 1">
          <a:extLst>
            <a:ext uri="{FF2B5EF4-FFF2-40B4-BE49-F238E27FC236}">
              <a16:creationId xmlns:a16="http://schemas.microsoft.com/office/drawing/2014/main" id="{532C996B-A472-C84B-A972-31C503AABC67}"/>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96566" y="652842"/>
          <a:ext cx="1672034" cy="913492"/>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xdr:from>
      <xdr:col>14</xdr:col>
      <xdr:colOff>136071</xdr:colOff>
      <xdr:row>21</xdr:row>
      <xdr:rowOff>319073</xdr:rowOff>
    </xdr:from>
    <xdr:to>
      <xdr:col>17</xdr:col>
      <xdr:colOff>1960702</xdr:colOff>
      <xdr:row>44</xdr:row>
      <xdr:rowOff>36285</xdr:rowOff>
    </xdr:to>
    <xdr:graphicFrame macro="">
      <xdr:nvGraphicFramePr>
        <xdr:cNvPr id="2" name="1 Gráfico">
          <a:extLst>
            <a:ext uri="{FF2B5EF4-FFF2-40B4-BE49-F238E27FC236}">
              <a16:creationId xmlns:a16="http://schemas.microsoft.com/office/drawing/2014/main" id="{2A689767-7013-214C-BD94-3C4E834B2F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258366</xdr:colOff>
      <xdr:row>1</xdr:row>
      <xdr:rowOff>271842</xdr:rowOff>
    </xdr:from>
    <xdr:ext cx="1672034" cy="913492"/>
    <xdr:pic>
      <xdr:nvPicPr>
        <xdr:cNvPr id="4" name="Picture 1">
          <a:extLst>
            <a:ext uri="{FF2B5EF4-FFF2-40B4-BE49-F238E27FC236}">
              <a16:creationId xmlns:a16="http://schemas.microsoft.com/office/drawing/2014/main" id="{B8416051-12E0-2D48-9D93-F4B0325DDB7F}"/>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866" y="652842"/>
          <a:ext cx="1672034" cy="913492"/>
        </a:xfrm>
        <a:prstGeom prst="rect">
          <a:avLst/>
        </a:prstGeom>
      </xdr:spPr>
    </xdr:pic>
    <xdr:clientData/>
  </xdr:oneCellAnchor>
</xdr:wsDr>
</file>

<file path=xl/drawings/drawing11.xml><?xml version="1.0" encoding="utf-8"?>
<c:userShapes xmlns:c="http://schemas.openxmlformats.org/drawingml/2006/chart">
  <cdr:relSizeAnchor xmlns:cdr="http://schemas.openxmlformats.org/drawingml/2006/chartDrawing">
    <cdr:from>
      <cdr:x>0.46095</cdr:x>
      <cdr:y>0.42802</cdr:y>
    </cdr:from>
    <cdr:to>
      <cdr:x>0.81074</cdr:x>
      <cdr:y>0.49356</cdr:y>
    </cdr:to>
    <cdr:sp macro="" textlink="">
      <cdr:nvSpPr>
        <cdr:cNvPr id="3" name="CuadroTexto 1">
          <a:extLst xmlns:a="http://schemas.openxmlformats.org/drawingml/2006/main">
            <a:ext uri="{FF2B5EF4-FFF2-40B4-BE49-F238E27FC236}">
              <a16:creationId xmlns:a16="http://schemas.microsoft.com/office/drawing/2014/main" id="{32A46840-EB92-BF44-B384-0C6B598B3457}"/>
            </a:ext>
          </a:extLst>
        </cdr:cNvPr>
        <cdr:cNvSpPr txBox="1"/>
      </cdr:nvSpPr>
      <cdr:spPr>
        <a:xfrm xmlns:a="http://schemas.openxmlformats.org/drawingml/2006/main">
          <a:off x="2769436" y="2156408"/>
          <a:ext cx="2101566" cy="330195"/>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s-ES_tradnl" sz="1300"/>
            <a:t>MASS</a:t>
          </a:r>
          <a:r>
            <a:rPr lang="es-ES_tradnl" sz="1300" baseline="0"/>
            <a:t> &amp; BALANCE DIAGRAM</a:t>
          </a:r>
          <a:endParaRPr lang="es-ES_tradnl" sz="1300"/>
        </a:p>
      </cdr:txBody>
    </cdr:sp>
  </cdr:relSizeAnchor>
  <cdr:relSizeAnchor xmlns:cdr="http://schemas.openxmlformats.org/drawingml/2006/chartDrawing">
    <cdr:from>
      <cdr:x>0.00633</cdr:x>
      <cdr:y>0.58791</cdr:y>
    </cdr:from>
    <cdr:to>
      <cdr:x>0.14937</cdr:x>
      <cdr:y>0.65345</cdr:y>
    </cdr:to>
    <cdr:sp macro="" textlink="">
      <cdr:nvSpPr>
        <cdr:cNvPr id="4" name="CuadroTexto 1">
          <a:extLst xmlns:a="http://schemas.openxmlformats.org/drawingml/2006/main">
            <a:ext uri="{FF2B5EF4-FFF2-40B4-BE49-F238E27FC236}">
              <a16:creationId xmlns:a16="http://schemas.microsoft.com/office/drawing/2014/main" id="{6D6178AE-1DAB-C747-9CF3-3A82ED416E56}"/>
            </a:ext>
          </a:extLst>
        </cdr:cNvPr>
        <cdr:cNvSpPr txBox="1"/>
      </cdr:nvSpPr>
      <cdr:spPr>
        <a:xfrm xmlns:a="http://schemas.openxmlformats.org/drawingml/2006/main">
          <a:off x="49010" y="4079652"/>
          <a:ext cx="1107482" cy="454801"/>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s-ES_tradnl" sz="1100"/>
            <a:t>Minimum</a:t>
          </a:r>
          <a:r>
            <a:rPr lang="es-ES_tradnl" sz="1100" baseline="0"/>
            <a:t> Weight 402</a:t>
          </a:r>
          <a:endParaRPr lang="es-ES_tradnl" sz="1100"/>
        </a:p>
      </cdr:txBody>
    </cdr:sp>
  </cdr:relSizeAnchor>
  <cdr:relSizeAnchor xmlns:cdr="http://schemas.openxmlformats.org/drawingml/2006/chartDrawing">
    <cdr:from>
      <cdr:x>0</cdr:x>
      <cdr:y>0.73355</cdr:y>
    </cdr:from>
    <cdr:to>
      <cdr:x>0.15992</cdr:x>
      <cdr:y>0.79909</cdr:y>
    </cdr:to>
    <cdr:sp macro="" textlink="">
      <cdr:nvSpPr>
        <cdr:cNvPr id="5" name="CuadroTexto 1">
          <a:extLst xmlns:a="http://schemas.openxmlformats.org/drawingml/2006/main">
            <a:ext uri="{FF2B5EF4-FFF2-40B4-BE49-F238E27FC236}">
              <a16:creationId xmlns:a16="http://schemas.microsoft.com/office/drawing/2014/main" id="{716B6D47-C795-224B-BC2B-7A143C0438D9}"/>
            </a:ext>
          </a:extLst>
        </cdr:cNvPr>
        <cdr:cNvSpPr txBox="1"/>
      </cdr:nvSpPr>
      <cdr:spPr>
        <a:xfrm xmlns:a="http://schemas.openxmlformats.org/drawingml/2006/main">
          <a:off x="0" y="3695700"/>
          <a:ext cx="962660" cy="330195"/>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s-ES_tradnl" sz="1100" baseline="0"/>
            <a:t>Empty Weight  337</a:t>
          </a:r>
          <a:endParaRPr lang="es-ES_tradnl" sz="1100"/>
        </a:p>
      </cdr:txBody>
    </cdr:sp>
  </cdr:relSizeAnchor>
  <cdr:relSizeAnchor xmlns:cdr="http://schemas.openxmlformats.org/drawingml/2006/chartDrawing">
    <cdr:from>
      <cdr:x>0.0036</cdr:x>
      <cdr:y>0.12396</cdr:y>
    </cdr:from>
    <cdr:to>
      <cdr:x>0.14436</cdr:x>
      <cdr:y>0.22854</cdr:y>
    </cdr:to>
    <cdr:sp macro="" textlink="">
      <cdr:nvSpPr>
        <cdr:cNvPr id="6" name="CuadroTexto 1">
          <a:extLst xmlns:a="http://schemas.openxmlformats.org/drawingml/2006/main">
            <a:ext uri="{FF2B5EF4-FFF2-40B4-BE49-F238E27FC236}">
              <a16:creationId xmlns:a16="http://schemas.microsoft.com/office/drawing/2014/main" id="{9118CFEE-338F-C447-AB07-8922A0178A07}"/>
            </a:ext>
          </a:extLst>
        </cdr:cNvPr>
        <cdr:cNvSpPr txBox="1"/>
      </cdr:nvSpPr>
      <cdr:spPr>
        <a:xfrm xmlns:a="http://schemas.openxmlformats.org/drawingml/2006/main">
          <a:off x="27873" y="860213"/>
          <a:ext cx="1089829" cy="725714"/>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ct val="150000"/>
            </a:lnSpc>
            <a:spcBef>
              <a:spcPts val="0"/>
            </a:spcBef>
          </a:pPr>
          <a:r>
            <a:rPr lang="es-ES_tradnl" sz="900"/>
            <a:t>MTOW = 620kg</a:t>
          </a:r>
        </a:p>
        <a:p xmlns:a="http://schemas.openxmlformats.org/drawingml/2006/main">
          <a:pPr algn="ctr">
            <a:lnSpc>
              <a:spcPct val="150000"/>
            </a:lnSpc>
            <a:spcBef>
              <a:spcPts val="0"/>
            </a:spcBef>
          </a:pPr>
          <a:r>
            <a:rPr lang="es-ES_tradnl" sz="900"/>
            <a:t>MTOW</a:t>
          </a:r>
          <a:r>
            <a:rPr lang="es-ES_tradnl" sz="900" baseline="0"/>
            <a:t> = 600kg</a:t>
          </a:r>
        </a:p>
        <a:p xmlns:a="http://schemas.openxmlformats.org/drawingml/2006/main">
          <a:pPr algn="ctr">
            <a:lnSpc>
              <a:spcPct val="150000"/>
            </a:lnSpc>
            <a:spcBef>
              <a:spcPts val="0"/>
            </a:spcBef>
          </a:pPr>
          <a:r>
            <a:rPr lang="es-ES_tradnl" sz="900" baseline="0"/>
            <a:t>MTOW = 580kg</a:t>
          </a:r>
          <a:endParaRPr lang="es-ES_tradnl" sz="900"/>
        </a:p>
      </cdr:txBody>
    </cdr:sp>
  </cdr:relSizeAnchor>
  <cdr:relSizeAnchor xmlns:cdr="http://schemas.openxmlformats.org/drawingml/2006/chartDrawing">
    <cdr:from>
      <cdr:x>0.23081</cdr:x>
      <cdr:y>0.91359</cdr:y>
    </cdr:from>
    <cdr:to>
      <cdr:x>0.39219</cdr:x>
      <cdr:y>0.97913</cdr:y>
    </cdr:to>
    <cdr:sp macro="" textlink="">
      <cdr:nvSpPr>
        <cdr:cNvPr id="7" name="CuadroTexto 1">
          <a:extLst xmlns:a="http://schemas.openxmlformats.org/drawingml/2006/main">
            <a:ext uri="{FF2B5EF4-FFF2-40B4-BE49-F238E27FC236}">
              <a16:creationId xmlns:a16="http://schemas.microsoft.com/office/drawing/2014/main" id="{B14927CF-74BC-9340-8419-8D0E137D7C79}"/>
            </a:ext>
          </a:extLst>
        </cdr:cNvPr>
        <cdr:cNvSpPr txBox="1"/>
      </cdr:nvSpPr>
      <cdr:spPr>
        <a:xfrm xmlns:a="http://schemas.openxmlformats.org/drawingml/2006/main">
          <a:off x="1787072" y="6339656"/>
          <a:ext cx="1249445" cy="45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ct val="100000"/>
            </a:lnSpc>
            <a:spcBef>
              <a:spcPts val="0"/>
            </a:spcBef>
          </a:pPr>
          <a:r>
            <a:rPr lang="es-ES_tradnl" sz="900"/>
            <a:t>26%</a:t>
          </a:r>
          <a:r>
            <a:rPr lang="es-ES_tradnl" sz="900" baseline="0"/>
            <a:t> CMA (1693mm)</a:t>
          </a:r>
          <a:endParaRPr lang="es-ES_tradnl" sz="900"/>
        </a:p>
      </cdr:txBody>
    </cdr:sp>
  </cdr:relSizeAnchor>
  <cdr:relSizeAnchor xmlns:cdr="http://schemas.openxmlformats.org/drawingml/2006/chartDrawing">
    <cdr:from>
      <cdr:x>0.72531</cdr:x>
      <cdr:y>0.90797</cdr:y>
    </cdr:from>
    <cdr:to>
      <cdr:x>0.90389</cdr:x>
      <cdr:y>0.98494</cdr:y>
    </cdr:to>
    <cdr:sp macro="" textlink="">
      <cdr:nvSpPr>
        <cdr:cNvPr id="8" name="CuadroTexto 1">
          <a:extLst xmlns:a="http://schemas.openxmlformats.org/drawingml/2006/main">
            <a:ext uri="{FF2B5EF4-FFF2-40B4-BE49-F238E27FC236}">
              <a16:creationId xmlns:a16="http://schemas.microsoft.com/office/drawing/2014/main" id="{BF4916A4-29F5-B44E-B607-8CB62478A095}"/>
            </a:ext>
          </a:extLst>
        </cdr:cNvPr>
        <cdr:cNvSpPr txBox="1"/>
      </cdr:nvSpPr>
      <cdr:spPr>
        <a:xfrm xmlns:a="http://schemas.openxmlformats.org/drawingml/2006/main">
          <a:off x="5329465" y="5695286"/>
          <a:ext cx="1312195" cy="482808"/>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ct val="100000"/>
            </a:lnSpc>
            <a:spcBef>
              <a:spcPts val="0"/>
            </a:spcBef>
          </a:pPr>
          <a:r>
            <a:rPr lang="es-ES_tradnl" sz="900"/>
            <a:t>32,5%</a:t>
          </a:r>
          <a:r>
            <a:rPr lang="es-ES_tradnl" sz="900" baseline="0"/>
            <a:t> CMA (1782mm)</a:t>
          </a:r>
          <a:endParaRPr lang="es-ES_tradnl" sz="900"/>
        </a:p>
      </cdr:txBody>
    </cdr:sp>
  </cdr:relSizeAnchor>
</c:userShapes>
</file>

<file path=xl/drawings/drawing2.xml><?xml version="1.0" encoding="utf-8"?>
<c:userShapes xmlns:c="http://schemas.openxmlformats.org/drawingml/2006/chart">
  <cdr:relSizeAnchor xmlns:cdr="http://schemas.openxmlformats.org/drawingml/2006/chartDrawing">
    <cdr:from>
      <cdr:x>0.27426</cdr:x>
      <cdr:y>0.73428</cdr:y>
    </cdr:from>
    <cdr:to>
      <cdr:x>0.44937</cdr:x>
      <cdr:y>0.79982</cdr:y>
    </cdr:to>
    <cdr:sp macro="" textlink="">
      <cdr:nvSpPr>
        <cdr:cNvPr id="2" name="CuadroTexto 1">
          <a:extLst xmlns:a="http://schemas.openxmlformats.org/drawingml/2006/main">
            <a:ext uri="{FF2B5EF4-FFF2-40B4-BE49-F238E27FC236}">
              <a16:creationId xmlns:a16="http://schemas.microsoft.com/office/drawing/2014/main" id="{FADB77DB-B696-FE48-B9EF-AEF9678376DA}"/>
            </a:ext>
          </a:extLst>
        </cdr:cNvPr>
        <cdr:cNvSpPr txBox="1"/>
      </cdr:nvSpPr>
      <cdr:spPr>
        <a:xfrm xmlns:a="http://schemas.openxmlformats.org/drawingml/2006/main">
          <a:off x="2183905" y="5595239"/>
          <a:ext cx="1394383" cy="499415"/>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s-ES_tradnl" sz="1100"/>
            <a:t>UTILITARY</a:t>
          </a:r>
        </a:p>
      </cdr:txBody>
    </cdr:sp>
  </cdr:relSizeAnchor>
  <cdr:relSizeAnchor xmlns:cdr="http://schemas.openxmlformats.org/drawingml/2006/chartDrawing">
    <cdr:from>
      <cdr:x>0.56963</cdr:x>
      <cdr:y>0.73591</cdr:y>
    </cdr:from>
    <cdr:to>
      <cdr:x>0.74473</cdr:x>
      <cdr:y>0.80145</cdr:y>
    </cdr:to>
    <cdr:sp macro="" textlink="">
      <cdr:nvSpPr>
        <cdr:cNvPr id="3" name="CuadroTexto 1">
          <a:extLst xmlns:a="http://schemas.openxmlformats.org/drawingml/2006/main">
            <a:ext uri="{FF2B5EF4-FFF2-40B4-BE49-F238E27FC236}">
              <a16:creationId xmlns:a16="http://schemas.microsoft.com/office/drawing/2014/main" id="{32A46840-EB92-BF44-B384-0C6B598B3457}"/>
            </a:ext>
          </a:extLst>
        </cdr:cNvPr>
        <cdr:cNvSpPr txBox="1"/>
      </cdr:nvSpPr>
      <cdr:spPr>
        <a:xfrm xmlns:a="http://schemas.openxmlformats.org/drawingml/2006/main">
          <a:off x="4535907" y="5607634"/>
          <a:ext cx="1394304" cy="499415"/>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s-ES_tradnl" sz="1100"/>
            <a:t>NORMAL</a:t>
          </a:r>
        </a:p>
      </cdr:txBody>
    </cdr:sp>
  </cdr:relSizeAnchor>
</c:userShapes>
</file>

<file path=xl/drawings/drawing3.xml><?xml version="1.0" encoding="utf-8"?>
<xdr:wsDr xmlns:xdr="http://schemas.openxmlformats.org/drawingml/2006/spreadsheetDrawing" xmlns:a="http://schemas.openxmlformats.org/drawingml/2006/main">
  <xdr:twoCellAnchor>
    <xdr:from>
      <xdr:col>23</xdr:col>
      <xdr:colOff>136071</xdr:colOff>
      <xdr:row>21</xdr:row>
      <xdr:rowOff>319073</xdr:rowOff>
    </xdr:from>
    <xdr:to>
      <xdr:col>26</xdr:col>
      <xdr:colOff>1960702</xdr:colOff>
      <xdr:row>44</xdr:row>
      <xdr:rowOff>36285</xdr:rowOff>
    </xdr:to>
    <xdr:graphicFrame macro="">
      <xdr:nvGraphicFramePr>
        <xdr:cNvPr id="2" name="1 Gráfico">
          <a:extLst>
            <a:ext uri="{FF2B5EF4-FFF2-40B4-BE49-F238E27FC236}">
              <a16:creationId xmlns:a16="http://schemas.microsoft.com/office/drawing/2014/main" id="{E5ED803D-9B6A-DC49-8A01-F425758C2D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258366</xdr:colOff>
      <xdr:row>1</xdr:row>
      <xdr:rowOff>348042</xdr:rowOff>
    </xdr:from>
    <xdr:ext cx="1672034" cy="913492"/>
    <xdr:pic>
      <xdr:nvPicPr>
        <xdr:cNvPr id="5" name="Picture 1">
          <a:extLst>
            <a:ext uri="{FF2B5EF4-FFF2-40B4-BE49-F238E27FC236}">
              <a16:creationId xmlns:a16="http://schemas.microsoft.com/office/drawing/2014/main" id="{87F5CE41-7493-9F40-83BF-DFFE8604FC5F}"/>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96566" y="729042"/>
          <a:ext cx="1672034" cy="913492"/>
        </a:xfrm>
        <a:prstGeom prst="rect">
          <a:avLst/>
        </a:prstGeom>
      </xdr:spPr>
    </xdr:pic>
    <xdr:clientData/>
  </xdr:oneCellAnchor>
  <xdr:oneCellAnchor>
    <xdr:from>
      <xdr:col>1</xdr:col>
      <xdr:colOff>258366</xdr:colOff>
      <xdr:row>46</xdr:row>
      <xdr:rowOff>271842</xdr:rowOff>
    </xdr:from>
    <xdr:ext cx="1672034" cy="913492"/>
    <xdr:pic>
      <xdr:nvPicPr>
        <xdr:cNvPr id="7" name="Picture 1">
          <a:extLst>
            <a:ext uri="{FF2B5EF4-FFF2-40B4-BE49-F238E27FC236}">
              <a16:creationId xmlns:a16="http://schemas.microsoft.com/office/drawing/2014/main" id="{586C43D2-C2BA-1540-84EB-185E6AED4F1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866" y="17594642"/>
          <a:ext cx="1672034" cy="913492"/>
        </a:xfrm>
        <a:prstGeom prst="rect">
          <a:avLst/>
        </a:prstGeom>
      </xdr:spPr>
    </xdr:pic>
    <xdr:clientData/>
  </xdr:oneCellAnchor>
  <xdr:oneCellAnchor>
    <xdr:from>
      <xdr:col>1</xdr:col>
      <xdr:colOff>258366</xdr:colOff>
      <xdr:row>46</xdr:row>
      <xdr:rowOff>271842</xdr:rowOff>
    </xdr:from>
    <xdr:ext cx="1672034" cy="913492"/>
    <xdr:pic>
      <xdr:nvPicPr>
        <xdr:cNvPr id="8" name="Picture 1">
          <a:extLst>
            <a:ext uri="{FF2B5EF4-FFF2-40B4-BE49-F238E27FC236}">
              <a16:creationId xmlns:a16="http://schemas.microsoft.com/office/drawing/2014/main" id="{6BE05065-1614-E642-85AE-E88F68FAE5A7}"/>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866" y="17594642"/>
          <a:ext cx="1672034" cy="913492"/>
        </a:xfrm>
        <a:prstGeom prst="rect">
          <a:avLst/>
        </a:prstGeom>
      </xdr:spPr>
    </xdr:pic>
    <xdr:clientData/>
  </xdr:oneCellAnchor>
</xdr:wsDr>
</file>

<file path=xl/drawings/drawing4.xml><?xml version="1.0" encoding="utf-8"?>
<c:userShapes xmlns:c="http://schemas.openxmlformats.org/drawingml/2006/chart">
  <cdr:relSizeAnchor xmlns:cdr="http://schemas.openxmlformats.org/drawingml/2006/chartDrawing">
    <cdr:from>
      <cdr:x>0.46095</cdr:x>
      <cdr:y>0.42802</cdr:y>
    </cdr:from>
    <cdr:to>
      <cdr:x>0.81074</cdr:x>
      <cdr:y>0.49356</cdr:y>
    </cdr:to>
    <cdr:sp macro="" textlink="">
      <cdr:nvSpPr>
        <cdr:cNvPr id="3" name="CuadroTexto 1">
          <a:extLst xmlns:a="http://schemas.openxmlformats.org/drawingml/2006/main">
            <a:ext uri="{FF2B5EF4-FFF2-40B4-BE49-F238E27FC236}">
              <a16:creationId xmlns:a16="http://schemas.microsoft.com/office/drawing/2014/main" id="{32A46840-EB92-BF44-B384-0C6B598B3457}"/>
            </a:ext>
          </a:extLst>
        </cdr:cNvPr>
        <cdr:cNvSpPr txBox="1"/>
      </cdr:nvSpPr>
      <cdr:spPr>
        <a:xfrm xmlns:a="http://schemas.openxmlformats.org/drawingml/2006/main">
          <a:off x="2769436" y="2156408"/>
          <a:ext cx="2101566" cy="330195"/>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s-ES_tradnl" sz="1300"/>
            <a:t>MASS</a:t>
          </a:r>
          <a:r>
            <a:rPr lang="es-ES_tradnl" sz="1300" baseline="0"/>
            <a:t> &amp; BALANCE DIAGRAM</a:t>
          </a:r>
          <a:endParaRPr lang="es-ES_tradnl" sz="1300"/>
        </a:p>
      </cdr:txBody>
    </cdr:sp>
  </cdr:relSizeAnchor>
  <cdr:relSizeAnchor xmlns:cdr="http://schemas.openxmlformats.org/drawingml/2006/chartDrawing">
    <cdr:from>
      <cdr:x>0.00633</cdr:x>
      <cdr:y>0.58791</cdr:y>
    </cdr:from>
    <cdr:to>
      <cdr:x>0.14937</cdr:x>
      <cdr:y>0.65345</cdr:y>
    </cdr:to>
    <cdr:sp macro="" textlink="">
      <cdr:nvSpPr>
        <cdr:cNvPr id="4" name="CuadroTexto 1">
          <a:extLst xmlns:a="http://schemas.openxmlformats.org/drawingml/2006/main">
            <a:ext uri="{FF2B5EF4-FFF2-40B4-BE49-F238E27FC236}">
              <a16:creationId xmlns:a16="http://schemas.microsoft.com/office/drawing/2014/main" id="{6D6178AE-1DAB-C747-9CF3-3A82ED416E56}"/>
            </a:ext>
          </a:extLst>
        </cdr:cNvPr>
        <cdr:cNvSpPr txBox="1"/>
      </cdr:nvSpPr>
      <cdr:spPr>
        <a:xfrm xmlns:a="http://schemas.openxmlformats.org/drawingml/2006/main">
          <a:off x="49010" y="4079652"/>
          <a:ext cx="1107482" cy="454801"/>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s-ES_tradnl" sz="1100"/>
            <a:t>Minimum</a:t>
          </a:r>
          <a:r>
            <a:rPr lang="es-ES_tradnl" sz="1100" baseline="0"/>
            <a:t> Weight 402</a:t>
          </a:r>
          <a:endParaRPr lang="es-ES_tradnl" sz="1100"/>
        </a:p>
      </cdr:txBody>
    </cdr:sp>
  </cdr:relSizeAnchor>
  <cdr:relSizeAnchor xmlns:cdr="http://schemas.openxmlformats.org/drawingml/2006/chartDrawing">
    <cdr:from>
      <cdr:x>0</cdr:x>
      <cdr:y>0.73355</cdr:y>
    </cdr:from>
    <cdr:to>
      <cdr:x>0.15992</cdr:x>
      <cdr:y>0.79909</cdr:y>
    </cdr:to>
    <cdr:sp macro="" textlink="">
      <cdr:nvSpPr>
        <cdr:cNvPr id="5" name="CuadroTexto 1">
          <a:extLst xmlns:a="http://schemas.openxmlformats.org/drawingml/2006/main">
            <a:ext uri="{FF2B5EF4-FFF2-40B4-BE49-F238E27FC236}">
              <a16:creationId xmlns:a16="http://schemas.microsoft.com/office/drawing/2014/main" id="{716B6D47-C795-224B-BC2B-7A143C0438D9}"/>
            </a:ext>
          </a:extLst>
        </cdr:cNvPr>
        <cdr:cNvSpPr txBox="1"/>
      </cdr:nvSpPr>
      <cdr:spPr>
        <a:xfrm xmlns:a="http://schemas.openxmlformats.org/drawingml/2006/main">
          <a:off x="0" y="3695700"/>
          <a:ext cx="962660" cy="330195"/>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s-ES_tradnl" sz="1100" baseline="0"/>
            <a:t>Empty Weight  337</a:t>
          </a:r>
          <a:endParaRPr lang="es-ES_tradnl" sz="1100"/>
        </a:p>
      </cdr:txBody>
    </cdr:sp>
  </cdr:relSizeAnchor>
  <cdr:relSizeAnchor xmlns:cdr="http://schemas.openxmlformats.org/drawingml/2006/chartDrawing">
    <cdr:from>
      <cdr:x>0.0036</cdr:x>
      <cdr:y>0.12396</cdr:y>
    </cdr:from>
    <cdr:to>
      <cdr:x>0.14436</cdr:x>
      <cdr:y>0.22854</cdr:y>
    </cdr:to>
    <cdr:sp macro="" textlink="">
      <cdr:nvSpPr>
        <cdr:cNvPr id="6" name="CuadroTexto 1">
          <a:extLst xmlns:a="http://schemas.openxmlformats.org/drawingml/2006/main">
            <a:ext uri="{FF2B5EF4-FFF2-40B4-BE49-F238E27FC236}">
              <a16:creationId xmlns:a16="http://schemas.microsoft.com/office/drawing/2014/main" id="{9118CFEE-338F-C447-AB07-8922A0178A07}"/>
            </a:ext>
          </a:extLst>
        </cdr:cNvPr>
        <cdr:cNvSpPr txBox="1"/>
      </cdr:nvSpPr>
      <cdr:spPr>
        <a:xfrm xmlns:a="http://schemas.openxmlformats.org/drawingml/2006/main">
          <a:off x="27873" y="860213"/>
          <a:ext cx="1089829" cy="725714"/>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ct val="150000"/>
            </a:lnSpc>
            <a:spcBef>
              <a:spcPts val="0"/>
            </a:spcBef>
          </a:pPr>
          <a:r>
            <a:rPr lang="es-ES_tradnl" sz="900"/>
            <a:t>MTOW = 620kg</a:t>
          </a:r>
        </a:p>
        <a:p xmlns:a="http://schemas.openxmlformats.org/drawingml/2006/main">
          <a:pPr algn="ctr">
            <a:lnSpc>
              <a:spcPct val="150000"/>
            </a:lnSpc>
            <a:spcBef>
              <a:spcPts val="0"/>
            </a:spcBef>
          </a:pPr>
          <a:r>
            <a:rPr lang="es-ES_tradnl" sz="900"/>
            <a:t>MTOW</a:t>
          </a:r>
          <a:r>
            <a:rPr lang="es-ES_tradnl" sz="900" baseline="0"/>
            <a:t> = 600kg</a:t>
          </a:r>
        </a:p>
        <a:p xmlns:a="http://schemas.openxmlformats.org/drawingml/2006/main">
          <a:pPr algn="ctr">
            <a:lnSpc>
              <a:spcPct val="150000"/>
            </a:lnSpc>
            <a:spcBef>
              <a:spcPts val="0"/>
            </a:spcBef>
          </a:pPr>
          <a:r>
            <a:rPr lang="es-ES_tradnl" sz="900" baseline="0"/>
            <a:t>MTOW = 580kg</a:t>
          </a:r>
          <a:endParaRPr lang="es-ES_tradnl" sz="900"/>
        </a:p>
      </cdr:txBody>
    </cdr:sp>
  </cdr:relSizeAnchor>
  <cdr:relSizeAnchor xmlns:cdr="http://schemas.openxmlformats.org/drawingml/2006/chartDrawing">
    <cdr:from>
      <cdr:x>0.23081</cdr:x>
      <cdr:y>0.91359</cdr:y>
    </cdr:from>
    <cdr:to>
      <cdr:x>0.39219</cdr:x>
      <cdr:y>0.97913</cdr:y>
    </cdr:to>
    <cdr:sp macro="" textlink="">
      <cdr:nvSpPr>
        <cdr:cNvPr id="7" name="CuadroTexto 1">
          <a:extLst xmlns:a="http://schemas.openxmlformats.org/drawingml/2006/main">
            <a:ext uri="{FF2B5EF4-FFF2-40B4-BE49-F238E27FC236}">
              <a16:creationId xmlns:a16="http://schemas.microsoft.com/office/drawing/2014/main" id="{B14927CF-74BC-9340-8419-8D0E137D7C79}"/>
            </a:ext>
          </a:extLst>
        </cdr:cNvPr>
        <cdr:cNvSpPr txBox="1"/>
      </cdr:nvSpPr>
      <cdr:spPr>
        <a:xfrm xmlns:a="http://schemas.openxmlformats.org/drawingml/2006/main">
          <a:off x="1787072" y="6339656"/>
          <a:ext cx="1249445" cy="45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ct val="100000"/>
            </a:lnSpc>
            <a:spcBef>
              <a:spcPts val="0"/>
            </a:spcBef>
          </a:pPr>
          <a:r>
            <a:rPr lang="es-ES_tradnl" sz="900"/>
            <a:t>26%</a:t>
          </a:r>
          <a:r>
            <a:rPr lang="es-ES_tradnl" sz="900" baseline="0"/>
            <a:t> CMA (1693mm)</a:t>
          </a:r>
          <a:endParaRPr lang="es-ES_tradnl" sz="900"/>
        </a:p>
      </cdr:txBody>
    </cdr:sp>
  </cdr:relSizeAnchor>
  <cdr:relSizeAnchor xmlns:cdr="http://schemas.openxmlformats.org/drawingml/2006/chartDrawing">
    <cdr:from>
      <cdr:x>0.72531</cdr:x>
      <cdr:y>0.90797</cdr:y>
    </cdr:from>
    <cdr:to>
      <cdr:x>0.90389</cdr:x>
      <cdr:y>0.98494</cdr:y>
    </cdr:to>
    <cdr:sp macro="" textlink="">
      <cdr:nvSpPr>
        <cdr:cNvPr id="8" name="CuadroTexto 1">
          <a:extLst xmlns:a="http://schemas.openxmlformats.org/drawingml/2006/main">
            <a:ext uri="{FF2B5EF4-FFF2-40B4-BE49-F238E27FC236}">
              <a16:creationId xmlns:a16="http://schemas.microsoft.com/office/drawing/2014/main" id="{BF4916A4-29F5-B44E-B607-8CB62478A095}"/>
            </a:ext>
          </a:extLst>
        </cdr:cNvPr>
        <cdr:cNvSpPr txBox="1"/>
      </cdr:nvSpPr>
      <cdr:spPr>
        <a:xfrm xmlns:a="http://schemas.openxmlformats.org/drawingml/2006/main">
          <a:off x="5329465" y="5695286"/>
          <a:ext cx="1312195" cy="482808"/>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ct val="100000"/>
            </a:lnSpc>
            <a:spcBef>
              <a:spcPts val="0"/>
            </a:spcBef>
          </a:pPr>
          <a:r>
            <a:rPr lang="es-ES_tradnl" sz="900"/>
            <a:t>32,5%</a:t>
          </a:r>
          <a:r>
            <a:rPr lang="es-ES_tradnl" sz="900" baseline="0"/>
            <a:t> CMA (1782mm)</a:t>
          </a:r>
          <a:endParaRPr lang="es-ES_tradnl" sz="900"/>
        </a:p>
      </cdr:txBody>
    </cdr:sp>
  </cdr:relSizeAnchor>
</c:userShapes>
</file>

<file path=xl/drawings/drawing5.xml><?xml version="1.0" encoding="utf-8"?>
<xdr:wsDr xmlns:xdr="http://schemas.openxmlformats.org/drawingml/2006/spreadsheetDrawing" xmlns:a="http://schemas.openxmlformats.org/drawingml/2006/main">
  <xdr:twoCellAnchor editAs="oneCell">
    <xdr:from>
      <xdr:col>0</xdr:col>
      <xdr:colOff>76199</xdr:colOff>
      <xdr:row>1</xdr:row>
      <xdr:rowOff>38100</xdr:rowOff>
    </xdr:from>
    <xdr:to>
      <xdr:col>9</xdr:col>
      <xdr:colOff>215618</xdr:colOff>
      <xdr:row>3</xdr:row>
      <xdr:rowOff>38100</xdr:rowOff>
    </xdr:to>
    <xdr:pic>
      <xdr:nvPicPr>
        <xdr:cNvPr id="2" name="Imagen 1" descr="AIS - COLOMBIA">
          <a:extLst>
            <a:ext uri="{FF2B5EF4-FFF2-40B4-BE49-F238E27FC236}">
              <a16:creationId xmlns:a16="http://schemas.microsoft.com/office/drawing/2014/main" id="{8BC8CC69-AD34-F047-9230-C2F4F75D5146}"/>
            </a:ext>
          </a:extLst>
        </xdr:cNvPr>
        <xdr:cNvPicPr>
          <a:picLocks noChangeAspect="1" noChangeArrowheads="1"/>
        </xdr:cNvPicPr>
      </xdr:nvPicPr>
      <xdr:blipFill>
        <a:blip xmlns:r="http://schemas.openxmlformats.org/officeDocument/2006/relationships" r:embed="rId1">
          <a:extLst>
            <a:ext uri="{BEBA8EAE-BF5A-486C-A8C5-ECC9F3942E4B}">
              <a14:imgProps xmlns:a14="http://schemas.microsoft.com/office/drawing/2010/main">
                <a14:imgLayer r:embed="rId2">
                  <a14:imgEffect>
                    <a14:sharpenSoften amount="50000"/>
                  </a14:imgEffect>
                  <a14:imgEffect>
                    <a14:saturation sat="0"/>
                  </a14:imgEffect>
                </a14:imgLayer>
              </a14:imgProps>
            </a:ext>
            <a:ext uri="{28A0092B-C50C-407E-A947-70E740481C1C}">
              <a14:useLocalDpi xmlns:a14="http://schemas.microsoft.com/office/drawing/2010/main" val="0"/>
            </a:ext>
          </a:extLst>
        </a:blip>
        <a:srcRect/>
        <a:stretch>
          <a:fillRect/>
        </a:stretch>
      </xdr:blipFill>
      <xdr:spPr bwMode="auto">
        <a:xfrm>
          <a:off x="76199" y="190500"/>
          <a:ext cx="2311119"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125408</xdr:colOff>
      <xdr:row>8</xdr:row>
      <xdr:rowOff>98250</xdr:rowOff>
    </xdr:from>
    <xdr:to>
      <xdr:col>4</xdr:col>
      <xdr:colOff>96380</xdr:colOff>
      <xdr:row>8</xdr:row>
      <xdr:rowOff>103692</xdr:rowOff>
    </xdr:to>
    <xdr:cxnSp macro="">
      <xdr:nvCxnSpPr>
        <xdr:cNvPr id="3" name="Conector recto de flecha 2">
          <a:extLst>
            <a:ext uri="{FF2B5EF4-FFF2-40B4-BE49-F238E27FC236}">
              <a16:creationId xmlns:a16="http://schemas.microsoft.com/office/drawing/2014/main" id="{867435BA-9267-7946-B1B0-733B185959DC}"/>
            </a:ext>
          </a:extLst>
        </xdr:cNvPr>
        <xdr:cNvCxnSpPr/>
      </xdr:nvCxnSpPr>
      <xdr:spPr>
        <a:xfrm flipV="1">
          <a:off x="849308" y="1444450"/>
          <a:ext cx="212272" cy="5442"/>
        </a:xfrm>
        <a:prstGeom prst="straightConnector1">
          <a:avLst/>
        </a:prstGeom>
        <a:ln w="15875">
          <a:solidFill>
            <a:schemeClr val="tx1"/>
          </a:solidFill>
          <a:headEnd w="med" len="lg"/>
          <a:tailEnd type="triangle" w="med"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0</xdr:colOff>
      <xdr:row>36</xdr:row>
      <xdr:rowOff>80815</xdr:rowOff>
    </xdr:from>
    <xdr:to>
      <xdr:col>13</xdr:col>
      <xdr:colOff>213426</xdr:colOff>
      <xdr:row>36</xdr:row>
      <xdr:rowOff>86257</xdr:rowOff>
    </xdr:to>
    <xdr:cxnSp macro="">
      <xdr:nvCxnSpPr>
        <xdr:cNvPr id="4" name="Conector recto de flecha 3">
          <a:extLst>
            <a:ext uri="{FF2B5EF4-FFF2-40B4-BE49-F238E27FC236}">
              <a16:creationId xmlns:a16="http://schemas.microsoft.com/office/drawing/2014/main" id="{7F5DC964-F44C-184D-B35D-E21B392A94D9}"/>
            </a:ext>
          </a:extLst>
        </xdr:cNvPr>
        <xdr:cNvCxnSpPr/>
      </xdr:nvCxnSpPr>
      <xdr:spPr>
        <a:xfrm flipV="1">
          <a:off x="3136900" y="4678215"/>
          <a:ext cx="213426" cy="5442"/>
        </a:xfrm>
        <a:prstGeom prst="straightConnector1">
          <a:avLst/>
        </a:prstGeom>
        <a:ln w="15875">
          <a:solidFill>
            <a:schemeClr val="tx1"/>
          </a:solidFill>
          <a:headEnd w="med" len="lg"/>
          <a:tailEnd type="triangle" w="med"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0</xdr:colOff>
      <xdr:row>46</xdr:row>
      <xdr:rowOff>92360</xdr:rowOff>
    </xdr:from>
    <xdr:to>
      <xdr:col>24</xdr:col>
      <xdr:colOff>213426</xdr:colOff>
      <xdr:row>46</xdr:row>
      <xdr:rowOff>97802</xdr:rowOff>
    </xdr:to>
    <xdr:cxnSp macro="">
      <xdr:nvCxnSpPr>
        <xdr:cNvPr id="5" name="Conector recto de flecha 4">
          <a:extLst>
            <a:ext uri="{FF2B5EF4-FFF2-40B4-BE49-F238E27FC236}">
              <a16:creationId xmlns:a16="http://schemas.microsoft.com/office/drawing/2014/main" id="{706659C3-E61C-F94F-A611-8E1749E0B59A}"/>
            </a:ext>
          </a:extLst>
        </xdr:cNvPr>
        <xdr:cNvCxnSpPr/>
      </xdr:nvCxnSpPr>
      <xdr:spPr>
        <a:xfrm flipV="1">
          <a:off x="5791200" y="6124860"/>
          <a:ext cx="213426" cy="5442"/>
        </a:xfrm>
        <a:prstGeom prst="straightConnector1">
          <a:avLst/>
        </a:prstGeom>
        <a:ln w="15875">
          <a:solidFill>
            <a:schemeClr val="tx1"/>
          </a:solidFill>
          <a:headEnd w="med" len="lg"/>
          <a:tailEnd type="triangle" w="med"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0</xdr:colOff>
      <xdr:row>46</xdr:row>
      <xdr:rowOff>103905</xdr:rowOff>
    </xdr:from>
    <xdr:to>
      <xdr:col>17</xdr:col>
      <xdr:colOff>213426</xdr:colOff>
      <xdr:row>46</xdr:row>
      <xdr:rowOff>109347</xdr:rowOff>
    </xdr:to>
    <xdr:cxnSp macro="">
      <xdr:nvCxnSpPr>
        <xdr:cNvPr id="6" name="Conector recto de flecha 5">
          <a:extLst>
            <a:ext uri="{FF2B5EF4-FFF2-40B4-BE49-F238E27FC236}">
              <a16:creationId xmlns:a16="http://schemas.microsoft.com/office/drawing/2014/main" id="{53F71FD0-B1FA-854E-9665-A6FA9C254868}"/>
            </a:ext>
          </a:extLst>
        </xdr:cNvPr>
        <xdr:cNvCxnSpPr/>
      </xdr:nvCxnSpPr>
      <xdr:spPr>
        <a:xfrm flipV="1">
          <a:off x="4102100" y="6136405"/>
          <a:ext cx="213426" cy="5442"/>
        </a:xfrm>
        <a:prstGeom prst="straightConnector1">
          <a:avLst/>
        </a:prstGeom>
        <a:ln w="15875">
          <a:solidFill>
            <a:schemeClr val="tx1"/>
          </a:solidFill>
          <a:headEnd w="med" len="lg"/>
          <a:tailEnd type="triangle" w="med"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63</xdr:row>
      <xdr:rowOff>103905</xdr:rowOff>
    </xdr:from>
    <xdr:to>
      <xdr:col>9</xdr:col>
      <xdr:colOff>213426</xdr:colOff>
      <xdr:row>63</xdr:row>
      <xdr:rowOff>109347</xdr:rowOff>
    </xdr:to>
    <xdr:cxnSp macro="">
      <xdr:nvCxnSpPr>
        <xdr:cNvPr id="7" name="Conector recto de flecha 6">
          <a:extLst>
            <a:ext uri="{FF2B5EF4-FFF2-40B4-BE49-F238E27FC236}">
              <a16:creationId xmlns:a16="http://schemas.microsoft.com/office/drawing/2014/main" id="{766828AF-D743-DB44-AFB1-B3AE5104597C}"/>
            </a:ext>
          </a:extLst>
        </xdr:cNvPr>
        <xdr:cNvCxnSpPr/>
      </xdr:nvCxnSpPr>
      <xdr:spPr>
        <a:xfrm flipV="1">
          <a:off x="2171700" y="8397005"/>
          <a:ext cx="213426" cy="5442"/>
        </a:xfrm>
        <a:prstGeom prst="straightConnector1">
          <a:avLst/>
        </a:prstGeom>
        <a:ln w="15875">
          <a:solidFill>
            <a:schemeClr val="tx1"/>
          </a:solidFill>
          <a:headEnd w="med" len="lg"/>
          <a:tailEnd type="triangle" w="med"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0</xdr:colOff>
      <xdr:row>63</xdr:row>
      <xdr:rowOff>115450</xdr:rowOff>
    </xdr:from>
    <xdr:to>
      <xdr:col>20</xdr:col>
      <xdr:colOff>213426</xdr:colOff>
      <xdr:row>63</xdr:row>
      <xdr:rowOff>120892</xdr:rowOff>
    </xdr:to>
    <xdr:cxnSp macro="">
      <xdr:nvCxnSpPr>
        <xdr:cNvPr id="8" name="Conector recto de flecha 7">
          <a:extLst>
            <a:ext uri="{FF2B5EF4-FFF2-40B4-BE49-F238E27FC236}">
              <a16:creationId xmlns:a16="http://schemas.microsoft.com/office/drawing/2014/main" id="{84FC3876-189D-514F-AD04-BEBC5A9A82E6}"/>
            </a:ext>
          </a:extLst>
        </xdr:cNvPr>
        <xdr:cNvCxnSpPr/>
      </xdr:nvCxnSpPr>
      <xdr:spPr>
        <a:xfrm flipV="1">
          <a:off x="4826000" y="8408550"/>
          <a:ext cx="213426" cy="5442"/>
        </a:xfrm>
        <a:prstGeom prst="straightConnector1">
          <a:avLst/>
        </a:prstGeom>
        <a:ln w="15875">
          <a:solidFill>
            <a:schemeClr val="tx1"/>
          </a:solidFill>
          <a:headEnd w="med" len="lg"/>
          <a:tailEnd type="triangle" w="med"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0</xdr:colOff>
      <xdr:row>75</xdr:row>
      <xdr:rowOff>103905</xdr:rowOff>
    </xdr:from>
    <xdr:to>
      <xdr:col>13</xdr:col>
      <xdr:colOff>213426</xdr:colOff>
      <xdr:row>75</xdr:row>
      <xdr:rowOff>109347</xdr:rowOff>
    </xdr:to>
    <xdr:cxnSp macro="">
      <xdr:nvCxnSpPr>
        <xdr:cNvPr id="9" name="Conector recto de flecha 8">
          <a:extLst>
            <a:ext uri="{FF2B5EF4-FFF2-40B4-BE49-F238E27FC236}">
              <a16:creationId xmlns:a16="http://schemas.microsoft.com/office/drawing/2014/main" id="{F5CCFEBC-CC3E-EB49-8888-0C4D758889E2}"/>
            </a:ext>
          </a:extLst>
        </xdr:cNvPr>
        <xdr:cNvCxnSpPr/>
      </xdr:nvCxnSpPr>
      <xdr:spPr>
        <a:xfrm flipV="1">
          <a:off x="3136900" y="9768605"/>
          <a:ext cx="213426" cy="5442"/>
        </a:xfrm>
        <a:prstGeom prst="straightConnector1">
          <a:avLst/>
        </a:prstGeom>
        <a:ln w="15875">
          <a:solidFill>
            <a:schemeClr val="tx1"/>
          </a:solidFill>
          <a:headEnd w="med" len="lg"/>
          <a:tailEnd type="triangle" w="med"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0</xdr:colOff>
      <xdr:row>75</xdr:row>
      <xdr:rowOff>103905</xdr:rowOff>
    </xdr:from>
    <xdr:to>
      <xdr:col>10</xdr:col>
      <xdr:colOff>213426</xdr:colOff>
      <xdr:row>75</xdr:row>
      <xdr:rowOff>109347</xdr:rowOff>
    </xdr:to>
    <xdr:cxnSp macro="">
      <xdr:nvCxnSpPr>
        <xdr:cNvPr id="10" name="Conector recto de flecha 9">
          <a:extLst>
            <a:ext uri="{FF2B5EF4-FFF2-40B4-BE49-F238E27FC236}">
              <a16:creationId xmlns:a16="http://schemas.microsoft.com/office/drawing/2014/main" id="{93ECBCB6-522F-DE4C-8A57-4F9B8236B23F}"/>
            </a:ext>
          </a:extLst>
        </xdr:cNvPr>
        <xdr:cNvCxnSpPr/>
      </xdr:nvCxnSpPr>
      <xdr:spPr>
        <a:xfrm flipV="1">
          <a:off x="2413000" y="9768605"/>
          <a:ext cx="213426" cy="5442"/>
        </a:xfrm>
        <a:prstGeom prst="straightConnector1">
          <a:avLst/>
        </a:prstGeom>
        <a:ln w="15875">
          <a:solidFill>
            <a:schemeClr val="tx1"/>
          </a:solidFill>
          <a:headEnd w="med" len="lg"/>
          <a:tailEnd type="triangle" w="med"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75</xdr:row>
      <xdr:rowOff>103905</xdr:rowOff>
    </xdr:from>
    <xdr:to>
      <xdr:col>5</xdr:col>
      <xdr:colOff>213426</xdr:colOff>
      <xdr:row>75</xdr:row>
      <xdr:rowOff>109347</xdr:rowOff>
    </xdr:to>
    <xdr:cxnSp macro="">
      <xdr:nvCxnSpPr>
        <xdr:cNvPr id="11" name="Conector recto de flecha 10">
          <a:extLst>
            <a:ext uri="{FF2B5EF4-FFF2-40B4-BE49-F238E27FC236}">
              <a16:creationId xmlns:a16="http://schemas.microsoft.com/office/drawing/2014/main" id="{6B16B4A3-5351-144C-A0CD-043BC1861F94}"/>
            </a:ext>
          </a:extLst>
        </xdr:cNvPr>
        <xdr:cNvCxnSpPr/>
      </xdr:nvCxnSpPr>
      <xdr:spPr>
        <a:xfrm flipV="1">
          <a:off x="1206500" y="9768605"/>
          <a:ext cx="213426" cy="5442"/>
        </a:xfrm>
        <a:prstGeom prst="straightConnector1">
          <a:avLst/>
        </a:prstGeom>
        <a:ln w="15875">
          <a:solidFill>
            <a:schemeClr val="tx1"/>
          </a:solidFill>
          <a:headEnd w="med" len="lg"/>
          <a:tailEnd type="triangle" w="med"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0</xdr:colOff>
      <xdr:row>69</xdr:row>
      <xdr:rowOff>92360</xdr:rowOff>
    </xdr:from>
    <xdr:to>
      <xdr:col>2</xdr:col>
      <xdr:colOff>213426</xdr:colOff>
      <xdr:row>69</xdr:row>
      <xdr:rowOff>97802</xdr:rowOff>
    </xdr:to>
    <xdr:cxnSp macro="">
      <xdr:nvCxnSpPr>
        <xdr:cNvPr id="12" name="Conector recto de flecha 11">
          <a:extLst>
            <a:ext uri="{FF2B5EF4-FFF2-40B4-BE49-F238E27FC236}">
              <a16:creationId xmlns:a16="http://schemas.microsoft.com/office/drawing/2014/main" id="{50F85443-5808-3746-9033-5624068C0AFB}"/>
            </a:ext>
          </a:extLst>
        </xdr:cNvPr>
        <xdr:cNvCxnSpPr/>
      </xdr:nvCxnSpPr>
      <xdr:spPr>
        <a:xfrm flipV="1">
          <a:off x="482600" y="9096660"/>
          <a:ext cx="213426" cy="5442"/>
        </a:xfrm>
        <a:prstGeom prst="straightConnector1">
          <a:avLst/>
        </a:prstGeom>
        <a:ln w="15875">
          <a:solidFill>
            <a:schemeClr val="tx1"/>
          </a:solidFill>
          <a:headEnd w="med" len="lg"/>
          <a:tailEnd type="triangle" w="med"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41275</xdr:colOff>
      <xdr:row>75</xdr:row>
      <xdr:rowOff>103905</xdr:rowOff>
    </xdr:from>
    <xdr:to>
      <xdr:col>0</xdr:col>
      <xdr:colOff>230944</xdr:colOff>
      <xdr:row>75</xdr:row>
      <xdr:rowOff>104775</xdr:rowOff>
    </xdr:to>
    <xdr:cxnSp macro="">
      <xdr:nvCxnSpPr>
        <xdr:cNvPr id="13" name="Conector recto de flecha 12">
          <a:extLst>
            <a:ext uri="{FF2B5EF4-FFF2-40B4-BE49-F238E27FC236}">
              <a16:creationId xmlns:a16="http://schemas.microsoft.com/office/drawing/2014/main" id="{196B516B-725E-1149-8AEC-A9CA89C50DD2}"/>
            </a:ext>
          </a:extLst>
        </xdr:cNvPr>
        <xdr:cNvCxnSpPr/>
      </xdr:nvCxnSpPr>
      <xdr:spPr>
        <a:xfrm flipV="1">
          <a:off x="41275" y="9768605"/>
          <a:ext cx="189669" cy="870"/>
        </a:xfrm>
        <a:prstGeom prst="straightConnector1">
          <a:avLst/>
        </a:prstGeom>
        <a:ln w="15875">
          <a:solidFill>
            <a:schemeClr val="tx1"/>
          </a:solidFill>
          <a:headEnd w="med" len="lg"/>
          <a:tailEnd type="triangle" w="med"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6350</xdr:colOff>
      <xdr:row>0</xdr:row>
      <xdr:rowOff>6350</xdr:rowOff>
    </xdr:from>
    <xdr:to>
      <xdr:col>32</xdr:col>
      <xdr:colOff>0</xdr:colOff>
      <xdr:row>5</xdr:row>
      <xdr:rowOff>27608</xdr:rowOff>
    </xdr:to>
    <xdr:sp macro="" textlink="">
      <xdr:nvSpPr>
        <xdr:cNvPr id="14" name="Redondear rectángulo de esquina del mismo lado 13">
          <a:extLst>
            <a:ext uri="{FF2B5EF4-FFF2-40B4-BE49-F238E27FC236}">
              <a16:creationId xmlns:a16="http://schemas.microsoft.com/office/drawing/2014/main" id="{CC7F80E8-D0D2-EA4F-9C0C-7CB5081367CB}"/>
            </a:ext>
          </a:extLst>
        </xdr:cNvPr>
        <xdr:cNvSpPr/>
      </xdr:nvSpPr>
      <xdr:spPr>
        <a:xfrm>
          <a:off x="6350" y="6350"/>
          <a:ext cx="7715250" cy="935658"/>
        </a:xfrm>
        <a:prstGeom prst="round2SameRect">
          <a:avLst/>
        </a:prstGeom>
        <a:noFill/>
        <a:ln w="952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0</xdr:col>
      <xdr:colOff>5185</xdr:colOff>
      <xdr:row>87</xdr:row>
      <xdr:rowOff>1552</xdr:rowOff>
    </xdr:from>
    <xdr:to>
      <xdr:col>32</xdr:col>
      <xdr:colOff>5092</xdr:colOff>
      <xdr:row>89</xdr:row>
      <xdr:rowOff>293075</xdr:rowOff>
    </xdr:to>
    <xdr:sp macro="" textlink="">
      <xdr:nvSpPr>
        <xdr:cNvPr id="15" name="Redondear rectángulo de esquina del mismo lado 14">
          <a:extLst>
            <a:ext uri="{FF2B5EF4-FFF2-40B4-BE49-F238E27FC236}">
              <a16:creationId xmlns:a16="http://schemas.microsoft.com/office/drawing/2014/main" id="{923D16AE-35C6-0847-A83F-4C222BA23671}"/>
            </a:ext>
          </a:extLst>
        </xdr:cNvPr>
        <xdr:cNvSpPr/>
      </xdr:nvSpPr>
      <xdr:spPr>
        <a:xfrm flipV="1">
          <a:off x="5185" y="11355352"/>
          <a:ext cx="7721507" cy="558223"/>
        </a:xfrm>
        <a:prstGeom prst="round2SameRect">
          <a:avLst>
            <a:gd name="adj1" fmla="val 28637"/>
            <a:gd name="adj2" fmla="val 0"/>
          </a:avLst>
        </a:prstGeom>
        <a:noFill/>
        <a:ln w="952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0</xdr:col>
      <xdr:colOff>31750</xdr:colOff>
      <xdr:row>81</xdr:row>
      <xdr:rowOff>101600</xdr:rowOff>
    </xdr:from>
    <xdr:to>
      <xdr:col>0</xdr:col>
      <xdr:colOff>221419</xdr:colOff>
      <xdr:row>81</xdr:row>
      <xdr:rowOff>102470</xdr:rowOff>
    </xdr:to>
    <xdr:cxnSp macro="">
      <xdr:nvCxnSpPr>
        <xdr:cNvPr id="16" name="Conector recto de flecha 15">
          <a:extLst>
            <a:ext uri="{FF2B5EF4-FFF2-40B4-BE49-F238E27FC236}">
              <a16:creationId xmlns:a16="http://schemas.microsoft.com/office/drawing/2014/main" id="{0AE696DC-61B7-1C4C-A53B-1910F03E3549}"/>
            </a:ext>
          </a:extLst>
        </xdr:cNvPr>
        <xdr:cNvCxnSpPr/>
      </xdr:nvCxnSpPr>
      <xdr:spPr>
        <a:xfrm flipV="1">
          <a:off x="31750" y="10617200"/>
          <a:ext cx="189669" cy="870"/>
        </a:xfrm>
        <a:prstGeom prst="straightConnector1">
          <a:avLst/>
        </a:prstGeom>
        <a:ln w="15875">
          <a:solidFill>
            <a:schemeClr val="tx1"/>
          </a:solidFill>
          <a:headEnd w="med" len="lg"/>
          <a:tailEnd type="triangle" w="med" len="lg"/>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76199</xdr:colOff>
      <xdr:row>1</xdr:row>
      <xdr:rowOff>38100</xdr:rowOff>
    </xdr:from>
    <xdr:to>
      <xdr:col>9</xdr:col>
      <xdr:colOff>215618</xdr:colOff>
      <xdr:row>3</xdr:row>
      <xdr:rowOff>38100</xdr:rowOff>
    </xdr:to>
    <xdr:pic>
      <xdr:nvPicPr>
        <xdr:cNvPr id="3" name="Imagen 2" descr="AIS - COLOMBIA">
          <a:extLst>
            <a:ext uri="{FF2B5EF4-FFF2-40B4-BE49-F238E27FC236}">
              <a16:creationId xmlns:a16="http://schemas.microsoft.com/office/drawing/2014/main" id="{B523B2DA-6C50-1FCA-9739-C73BD2A56223}"/>
            </a:ext>
          </a:extLst>
        </xdr:cNvPr>
        <xdr:cNvPicPr>
          <a:picLocks noChangeAspect="1" noChangeArrowheads="1"/>
        </xdr:cNvPicPr>
      </xdr:nvPicPr>
      <xdr:blipFill>
        <a:blip xmlns:r="http://schemas.openxmlformats.org/officeDocument/2006/relationships" r:embed="rId1">
          <a:extLst>
            <a:ext uri="{BEBA8EAE-BF5A-486C-A8C5-ECC9F3942E4B}">
              <a14:imgProps xmlns:a14="http://schemas.microsoft.com/office/drawing/2010/main">
                <a14:imgLayer r:embed="rId2">
                  <a14:imgEffect>
                    <a14:sharpenSoften amount="50000"/>
                  </a14:imgEffect>
                  <a14:imgEffect>
                    <a14:saturation sat="0"/>
                  </a14:imgEffect>
                </a14:imgLayer>
              </a14:imgProps>
            </a:ext>
            <a:ext uri="{28A0092B-C50C-407E-A947-70E740481C1C}">
              <a14:useLocalDpi xmlns:a14="http://schemas.microsoft.com/office/drawing/2010/main" val="0"/>
            </a:ext>
          </a:extLst>
        </a:blip>
        <a:srcRect/>
        <a:stretch>
          <a:fillRect/>
        </a:stretch>
      </xdr:blipFill>
      <xdr:spPr bwMode="auto">
        <a:xfrm>
          <a:off x="76199" y="190500"/>
          <a:ext cx="2311119"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125408</xdr:colOff>
      <xdr:row>8</xdr:row>
      <xdr:rowOff>98250</xdr:rowOff>
    </xdr:from>
    <xdr:to>
      <xdr:col>4</xdr:col>
      <xdr:colOff>96380</xdr:colOff>
      <xdr:row>8</xdr:row>
      <xdr:rowOff>103692</xdr:rowOff>
    </xdr:to>
    <xdr:cxnSp macro="">
      <xdr:nvCxnSpPr>
        <xdr:cNvPr id="6" name="Conector recto de flecha 5">
          <a:extLst>
            <a:ext uri="{FF2B5EF4-FFF2-40B4-BE49-F238E27FC236}">
              <a16:creationId xmlns:a16="http://schemas.microsoft.com/office/drawing/2014/main" id="{A34284FE-15F2-A649-28AA-1C573BA648BC}"/>
            </a:ext>
          </a:extLst>
        </xdr:cNvPr>
        <xdr:cNvCxnSpPr/>
      </xdr:nvCxnSpPr>
      <xdr:spPr>
        <a:xfrm flipV="1">
          <a:off x="843961" y="1440662"/>
          <a:ext cx="210489" cy="5442"/>
        </a:xfrm>
        <a:prstGeom prst="straightConnector1">
          <a:avLst/>
        </a:prstGeom>
        <a:ln w="15875">
          <a:solidFill>
            <a:schemeClr val="tx1"/>
          </a:solidFill>
          <a:headEnd w="med" len="lg"/>
          <a:tailEnd type="triangle" w="med"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0</xdr:colOff>
      <xdr:row>36</xdr:row>
      <xdr:rowOff>80815</xdr:rowOff>
    </xdr:from>
    <xdr:to>
      <xdr:col>13</xdr:col>
      <xdr:colOff>213426</xdr:colOff>
      <xdr:row>36</xdr:row>
      <xdr:rowOff>86257</xdr:rowOff>
    </xdr:to>
    <xdr:cxnSp macro="">
      <xdr:nvCxnSpPr>
        <xdr:cNvPr id="9" name="Conector recto de flecha 8">
          <a:extLst>
            <a:ext uri="{FF2B5EF4-FFF2-40B4-BE49-F238E27FC236}">
              <a16:creationId xmlns:a16="http://schemas.microsoft.com/office/drawing/2014/main" id="{59426654-255F-D54A-9078-19072E2430A8}"/>
            </a:ext>
          </a:extLst>
        </xdr:cNvPr>
        <xdr:cNvCxnSpPr/>
      </xdr:nvCxnSpPr>
      <xdr:spPr>
        <a:xfrm flipV="1">
          <a:off x="3151909" y="4491179"/>
          <a:ext cx="213426" cy="5442"/>
        </a:xfrm>
        <a:prstGeom prst="straightConnector1">
          <a:avLst/>
        </a:prstGeom>
        <a:ln w="15875">
          <a:solidFill>
            <a:schemeClr val="tx1"/>
          </a:solidFill>
          <a:headEnd w="med" len="lg"/>
          <a:tailEnd type="triangle" w="med"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0</xdr:colOff>
      <xdr:row>46</xdr:row>
      <xdr:rowOff>92360</xdr:rowOff>
    </xdr:from>
    <xdr:to>
      <xdr:col>24</xdr:col>
      <xdr:colOff>213426</xdr:colOff>
      <xdr:row>46</xdr:row>
      <xdr:rowOff>97802</xdr:rowOff>
    </xdr:to>
    <xdr:cxnSp macro="">
      <xdr:nvCxnSpPr>
        <xdr:cNvPr id="10" name="Conector recto de flecha 9">
          <a:extLst>
            <a:ext uri="{FF2B5EF4-FFF2-40B4-BE49-F238E27FC236}">
              <a16:creationId xmlns:a16="http://schemas.microsoft.com/office/drawing/2014/main" id="{A53C1AA6-4AF8-D742-B023-BF9056205ED6}"/>
            </a:ext>
          </a:extLst>
        </xdr:cNvPr>
        <xdr:cNvCxnSpPr/>
      </xdr:nvCxnSpPr>
      <xdr:spPr>
        <a:xfrm flipV="1">
          <a:off x="5818909" y="5726542"/>
          <a:ext cx="213426" cy="5442"/>
        </a:xfrm>
        <a:prstGeom prst="straightConnector1">
          <a:avLst/>
        </a:prstGeom>
        <a:ln w="15875">
          <a:solidFill>
            <a:schemeClr val="tx1"/>
          </a:solidFill>
          <a:headEnd w="med" len="lg"/>
          <a:tailEnd type="triangle" w="med"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0</xdr:colOff>
      <xdr:row>46</xdr:row>
      <xdr:rowOff>103905</xdr:rowOff>
    </xdr:from>
    <xdr:to>
      <xdr:col>17</xdr:col>
      <xdr:colOff>213426</xdr:colOff>
      <xdr:row>46</xdr:row>
      <xdr:rowOff>109347</xdr:rowOff>
    </xdr:to>
    <xdr:cxnSp macro="">
      <xdr:nvCxnSpPr>
        <xdr:cNvPr id="11" name="Conector recto de flecha 10">
          <a:extLst>
            <a:ext uri="{FF2B5EF4-FFF2-40B4-BE49-F238E27FC236}">
              <a16:creationId xmlns:a16="http://schemas.microsoft.com/office/drawing/2014/main" id="{380687A3-8FF1-7A43-8CBF-69266AABE48E}"/>
            </a:ext>
          </a:extLst>
        </xdr:cNvPr>
        <xdr:cNvCxnSpPr/>
      </xdr:nvCxnSpPr>
      <xdr:spPr>
        <a:xfrm flipV="1">
          <a:off x="4121727" y="5738087"/>
          <a:ext cx="213426" cy="5442"/>
        </a:xfrm>
        <a:prstGeom prst="straightConnector1">
          <a:avLst/>
        </a:prstGeom>
        <a:ln w="15875">
          <a:solidFill>
            <a:schemeClr val="tx1"/>
          </a:solidFill>
          <a:headEnd w="med" len="lg"/>
          <a:tailEnd type="triangle" w="med"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63</xdr:row>
      <xdr:rowOff>103905</xdr:rowOff>
    </xdr:from>
    <xdr:to>
      <xdr:col>9</xdr:col>
      <xdr:colOff>213426</xdr:colOff>
      <xdr:row>63</xdr:row>
      <xdr:rowOff>109347</xdr:rowOff>
    </xdr:to>
    <xdr:cxnSp macro="">
      <xdr:nvCxnSpPr>
        <xdr:cNvPr id="12" name="Conector recto de flecha 11">
          <a:extLst>
            <a:ext uri="{FF2B5EF4-FFF2-40B4-BE49-F238E27FC236}">
              <a16:creationId xmlns:a16="http://schemas.microsoft.com/office/drawing/2014/main" id="{1D9AD9EA-2061-D24C-B575-4F1BA7D5CF23}"/>
            </a:ext>
          </a:extLst>
        </xdr:cNvPr>
        <xdr:cNvCxnSpPr/>
      </xdr:nvCxnSpPr>
      <xdr:spPr>
        <a:xfrm flipV="1">
          <a:off x="2182091" y="7862450"/>
          <a:ext cx="213426" cy="5442"/>
        </a:xfrm>
        <a:prstGeom prst="straightConnector1">
          <a:avLst/>
        </a:prstGeom>
        <a:ln w="15875">
          <a:solidFill>
            <a:schemeClr val="tx1"/>
          </a:solidFill>
          <a:headEnd w="med" len="lg"/>
          <a:tailEnd type="triangle" w="med"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0</xdr:colOff>
      <xdr:row>63</xdr:row>
      <xdr:rowOff>115450</xdr:rowOff>
    </xdr:from>
    <xdr:to>
      <xdr:col>20</xdr:col>
      <xdr:colOff>213426</xdr:colOff>
      <xdr:row>63</xdr:row>
      <xdr:rowOff>120892</xdr:rowOff>
    </xdr:to>
    <xdr:cxnSp macro="">
      <xdr:nvCxnSpPr>
        <xdr:cNvPr id="13" name="Conector recto de flecha 12">
          <a:extLst>
            <a:ext uri="{FF2B5EF4-FFF2-40B4-BE49-F238E27FC236}">
              <a16:creationId xmlns:a16="http://schemas.microsoft.com/office/drawing/2014/main" id="{FE2048E1-10DC-914A-B0BE-A772B0F86B79}"/>
            </a:ext>
          </a:extLst>
        </xdr:cNvPr>
        <xdr:cNvCxnSpPr/>
      </xdr:nvCxnSpPr>
      <xdr:spPr>
        <a:xfrm flipV="1">
          <a:off x="4849091" y="7873995"/>
          <a:ext cx="213426" cy="5442"/>
        </a:xfrm>
        <a:prstGeom prst="straightConnector1">
          <a:avLst/>
        </a:prstGeom>
        <a:ln w="15875">
          <a:solidFill>
            <a:schemeClr val="tx1"/>
          </a:solidFill>
          <a:headEnd w="med" len="lg"/>
          <a:tailEnd type="triangle" w="med"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0</xdr:colOff>
      <xdr:row>75</xdr:row>
      <xdr:rowOff>103905</xdr:rowOff>
    </xdr:from>
    <xdr:to>
      <xdr:col>13</xdr:col>
      <xdr:colOff>213426</xdr:colOff>
      <xdr:row>75</xdr:row>
      <xdr:rowOff>109347</xdr:rowOff>
    </xdr:to>
    <xdr:cxnSp macro="">
      <xdr:nvCxnSpPr>
        <xdr:cNvPr id="14" name="Conector recto de flecha 13">
          <a:extLst>
            <a:ext uri="{FF2B5EF4-FFF2-40B4-BE49-F238E27FC236}">
              <a16:creationId xmlns:a16="http://schemas.microsoft.com/office/drawing/2014/main" id="{F1BFE111-C067-0242-B65E-F70CC8BFF537}"/>
            </a:ext>
          </a:extLst>
        </xdr:cNvPr>
        <xdr:cNvCxnSpPr/>
      </xdr:nvCxnSpPr>
      <xdr:spPr>
        <a:xfrm flipV="1">
          <a:off x="3151909" y="9190178"/>
          <a:ext cx="213426" cy="5442"/>
        </a:xfrm>
        <a:prstGeom prst="straightConnector1">
          <a:avLst/>
        </a:prstGeom>
        <a:ln w="15875">
          <a:solidFill>
            <a:schemeClr val="tx1"/>
          </a:solidFill>
          <a:headEnd w="med" len="lg"/>
          <a:tailEnd type="triangle" w="med"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0</xdr:colOff>
      <xdr:row>75</xdr:row>
      <xdr:rowOff>103905</xdr:rowOff>
    </xdr:from>
    <xdr:to>
      <xdr:col>10</xdr:col>
      <xdr:colOff>213426</xdr:colOff>
      <xdr:row>75</xdr:row>
      <xdr:rowOff>109347</xdr:rowOff>
    </xdr:to>
    <xdr:cxnSp macro="">
      <xdr:nvCxnSpPr>
        <xdr:cNvPr id="15" name="Conector recto de flecha 14">
          <a:extLst>
            <a:ext uri="{FF2B5EF4-FFF2-40B4-BE49-F238E27FC236}">
              <a16:creationId xmlns:a16="http://schemas.microsoft.com/office/drawing/2014/main" id="{660D3596-F50D-CA4F-ABB4-ABF337AEAB15}"/>
            </a:ext>
          </a:extLst>
        </xdr:cNvPr>
        <xdr:cNvCxnSpPr/>
      </xdr:nvCxnSpPr>
      <xdr:spPr>
        <a:xfrm flipV="1">
          <a:off x="2424545" y="9190178"/>
          <a:ext cx="213426" cy="5442"/>
        </a:xfrm>
        <a:prstGeom prst="straightConnector1">
          <a:avLst/>
        </a:prstGeom>
        <a:ln w="15875">
          <a:solidFill>
            <a:schemeClr val="tx1"/>
          </a:solidFill>
          <a:headEnd w="med" len="lg"/>
          <a:tailEnd type="triangle" w="med"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75</xdr:row>
      <xdr:rowOff>103905</xdr:rowOff>
    </xdr:from>
    <xdr:to>
      <xdr:col>5</xdr:col>
      <xdr:colOff>213426</xdr:colOff>
      <xdr:row>75</xdr:row>
      <xdr:rowOff>109347</xdr:rowOff>
    </xdr:to>
    <xdr:cxnSp macro="">
      <xdr:nvCxnSpPr>
        <xdr:cNvPr id="16" name="Conector recto de flecha 15">
          <a:extLst>
            <a:ext uri="{FF2B5EF4-FFF2-40B4-BE49-F238E27FC236}">
              <a16:creationId xmlns:a16="http://schemas.microsoft.com/office/drawing/2014/main" id="{58F0F3ED-E016-0948-91D7-9E9C92C1FD31}"/>
            </a:ext>
          </a:extLst>
        </xdr:cNvPr>
        <xdr:cNvCxnSpPr/>
      </xdr:nvCxnSpPr>
      <xdr:spPr>
        <a:xfrm flipV="1">
          <a:off x="1212273" y="9190178"/>
          <a:ext cx="213426" cy="5442"/>
        </a:xfrm>
        <a:prstGeom prst="straightConnector1">
          <a:avLst/>
        </a:prstGeom>
        <a:ln w="15875">
          <a:solidFill>
            <a:schemeClr val="tx1"/>
          </a:solidFill>
          <a:headEnd w="med" len="lg"/>
          <a:tailEnd type="triangle" w="med"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0</xdr:colOff>
      <xdr:row>69</xdr:row>
      <xdr:rowOff>92360</xdr:rowOff>
    </xdr:from>
    <xdr:to>
      <xdr:col>2</xdr:col>
      <xdr:colOff>213426</xdr:colOff>
      <xdr:row>69</xdr:row>
      <xdr:rowOff>97802</xdr:rowOff>
    </xdr:to>
    <xdr:cxnSp macro="">
      <xdr:nvCxnSpPr>
        <xdr:cNvPr id="17" name="Conector recto de flecha 16">
          <a:extLst>
            <a:ext uri="{FF2B5EF4-FFF2-40B4-BE49-F238E27FC236}">
              <a16:creationId xmlns:a16="http://schemas.microsoft.com/office/drawing/2014/main" id="{EBF2C47D-BA8A-3F47-AD22-F2A4462C7B63}"/>
            </a:ext>
          </a:extLst>
        </xdr:cNvPr>
        <xdr:cNvCxnSpPr/>
      </xdr:nvCxnSpPr>
      <xdr:spPr>
        <a:xfrm flipV="1">
          <a:off x="484909" y="8543633"/>
          <a:ext cx="213426" cy="5442"/>
        </a:xfrm>
        <a:prstGeom prst="straightConnector1">
          <a:avLst/>
        </a:prstGeom>
        <a:ln w="15875">
          <a:solidFill>
            <a:schemeClr val="tx1"/>
          </a:solidFill>
          <a:headEnd w="med" len="lg"/>
          <a:tailEnd type="triangle" w="med"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41275</xdr:colOff>
      <xdr:row>75</xdr:row>
      <xdr:rowOff>103905</xdr:rowOff>
    </xdr:from>
    <xdr:to>
      <xdr:col>0</xdr:col>
      <xdr:colOff>230944</xdr:colOff>
      <xdr:row>75</xdr:row>
      <xdr:rowOff>104775</xdr:rowOff>
    </xdr:to>
    <xdr:cxnSp macro="">
      <xdr:nvCxnSpPr>
        <xdr:cNvPr id="18" name="Conector recto de flecha 17">
          <a:extLst>
            <a:ext uri="{FF2B5EF4-FFF2-40B4-BE49-F238E27FC236}">
              <a16:creationId xmlns:a16="http://schemas.microsoft.com/office/drawing/2014/main" id="{425AA163-F5DD-B44F-9C04-B6B210CF7E7E}"/>
            </a:ext>
          </a:extLst>
        </xdr:cNvPr>
        <xdr:cNvCxnSpPr/>
      </xdr:nvCxnSpPr>
      <xdr:spPr>
        <a:xfrm flipV="1">
          <a:off x="41275" y="9768605"/>
          <a:ext cx="189669" cy="870"/>
        </a:xfrm>
        <a:prstGeom prst="straightConnector1">
          <a:avLst/>
        </a:prstGeom>
        <a:ln w="15875">
          <a:solidFill>
            <a:schemeClr val="tx1"/>
          </a:solidFill>
          <a:headEnd w="med" len="lg"/>
          <a:tailEnd type="triangle" w="med"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6350</xdr:colOff>
      <xdr:row>0</xdr:row>
      <xdr:rowOff>6350</xdr:rowOff>
    </xdr:from>
    <xdr:to>
      <xdr:col>32</xdr:col>
      <xdr:colOff>0</xdr:colOff>
      <xdr:row>5</xdr:row>
      <xdr:rowOff>27608</xdr:rowOff>
    </xdr:to>
    <xdr:sp macro="" textlink="">
      <xdr:nvSpPr>
        <xdr:cNvPr id="20" name="Redondear rectángulo de esquina del mismo lado 19">
          <a:extLst>
            <a:ext uri="{FF2B5EF4-FFF2-40B4-BE49-F238E27FC236}">
              <a16:creationId xmlns:a16="http://schemas.microsoft.com/office/drawing/2014/main" id="{EA73F929-131B-7A1B-5073-43DA7014EAB0}"/>
            </a:ext>
          </a:extLst>
        </xdr:cNvPr>
        <xdr:cNvSpPr/>
      </xdr:nvSpPr>
      <xdr:spPr>
        <a:xfrm>
          <a:off x="6350" y="6350"/>
          <a:ext cx="7650462" cy="950751"/>
        </a:xfrm>
        <a:prstGeom prst="round2SameRect">
          <a:avLst/>
        </a:prstGeom>
        <a:noFill/>
        <a:ln w="952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0</xdr:col>
      <xdr:colOff>5185</xdr:colOff>
      <xdr:row>87</xdr:row>
      <xdr:rowOff>1552</xdr:rowOff>
    </xdr:from>
    <xdr:to>
      <xdr:col>32</xdr:col>
      <xdr:colOff>5092</xdr:colOff>
      <xdr:row>89</xdr:row>
      <xdr:rowOff>293075</xdr:rowOff>
    </xdr:to>
    <xdr:sp macro="" textlink="">
      <xdr:nvSpPr>
        <xdr:cNvPr id="21" name="Redondear rectángulo de esquina del mismo lado 20">
          <a:extLst>
            <a:ext uri="{FF2B5EF4-FFF2-40B4-BE49-F238E27FC236}">
              <a16:creationId xmlns:a16="http://schemas.microsoft.com/office/drawing/2014/main" id="{80BA0048-7924-8342-9BB0-EC6B34C9342B}"/>
            </a:ext>
          </a:extLst>
        </xdr:cNvPr>
        <xdr:cNvSpPr/>
      </xdr:nvSpPr>
      <xdr:spPr>
        <a:xfrm flipV="1">
          <a:off x="5185" y="11393325"/>
          <a:ext cx="7747332" cy="559115"/>
        </a:xfrm>
        <a:prstGeom prst="round2SameRect">
          <a:avLst>
            <a:gd name="adj1" fmla="val 28637"/>
            <a:gd name="adj2" fmla="val 0"/>
          </a:avLst>
        </a:prstGeom>
        <a:noFill/>
        <a:ln w="952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0</xdr:col>
      <xdr:colOff>31750</xdr:colOff>
      <xdr:row>81</xdr:row>
      <xdr:rowOff>101600</xdr:rowOff>
    </xdr:from>
    <xdr:to>
      <xdr:col>0</xdr:col>
      <xdr:colOff>221419</xdr:colOff>
      <xdr:row>81</xdr:row>
      <xdr:rowOff>102470</xdr:rowOff>
    </xdr:to>
    <xdr:cxnSp macro="">
      <xdr:nvCxnSpPr>
        <xdr:cNvPr id="4" name="Conector recto de flecha 3">
          <a:extLst>
            <a:ext uri="{FF2B5EF4-FFF2-40B4-BE49-F238E27FC236}">
              <a16:creationId xmlns:a16="http://schemas.microsoft.com/office/drawing/2014/main" id="{0B4580FB-D67A-4B4C-8E1E-DBE394CFE7EA}"/>
            </a:ext>
          </a:extLst>
        </xdr:cNvPr>
        <xdr:cNvCxnSpPr/>
      </xdr:nvCxnSpPr>
      <xdr:spPr>
        <a:xfrm flipV="1">
          <a:off x="31750" y="10541000"/>
          <a:ext cx="189669" cy="870"/>
        </a:xfrm>
        <a:prstGeom prst="straightConnector1">
          <a:avLst/>
        </a:prstGeom>
        <a:ln w="15875">
          <a:solidFill>
            <a:schemeClr val="tx1"/>
          </a:solidFill>
          <a:headEnd w="med" len="lg"/>
          <a:tailEnd type="triangle" w="med" len="lg"/>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oneCellAnchor>
    <xdr:from>
      <xdr:col>2</xdr:col>
      <xdr:colOff>4366</xdr:colOff>
      <xdr:row>1</xdr:row>
      <xdr:rowOff>297242</xdr:rowOff>
    </xdr:from>
    <xdr:ext cx="1672034" cy="913492"/>
    <xdr:pic>
      <xdr:nvPicPr>
        <xdr:cNvPr id="4" name="Picture 1">
          <a:extLst>
            <a:ext uri="{FF2B5EF4-FFF2-40B4-BE49-F238E27FC236}">
              <a16:creationId xmlns:a16="http://schemas.microsoft.com/office/drawing/2014/main" id="{F2BDAEBA-5937-9E47-84F7-B01DEE3E96C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99766" y="678242"/>
          <a:ext cx="1672034" cy="913492"/>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xdr:from>
      <xdr:col>14</xdr:col>
      <xdr:colOff>3143</xdr:colOff>
      <xdr:row>23</xdr:row>
      <xdr:rowOff>177799</xdr:rowOff>
    </xdr:from>
    <xdr:to>
      <xdr:col>17</xdr:col>
      <xdr:colOff>1981200</xdr:colOff>
      <xdr:row>42</xdr:row>
      <xdr:rowOff>330200</xdr:rowOff>
    </xdr:to>
    <xdr:graphicFrame macro="">
      <xdr:nvGraphicFramePr>
        <xdr:cNvPr id="2" name="1 Gráfico">
          <a:extLst>
            <a:ext uri="{FF2B5EF4-FFF2-40B4-BE49-F238E27FC236}">
              <a16:creationId xmlns:a16="http://schemas.microsoft.com/office/drawing/2014/main" id="{C6D91676-8831-4B44-BC2C-6A09D9F0F7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258366</xdr:colOff>
      <xdr:row>1</xdr:row>
      <xdr:rowOff>271842</xdr:rowOff>
    </xdr:from>
    <xdr:ext cx="1672034" cy="913492"/>
    <xdr:pic>
      <xdr:nvPicPr>
        <xdr:cNvPr id="4" name="Picture 1">
          <a:extLst>
            <a:ext uri="{FF2B5EF4-FFF2-40B4-BE49-F238E27FC236}">
              <a16:creationId xmlns:a16="http://schemas.microsoft.com/office/drawing/2014/main" id="{FCD52223-A0DF-594E-8059-C109CB91E4BA}"/>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866" y="652842"/>
          <a:ext cx="1672034" cy="913492"/>
        </a:xfrm>
        <a:prstGeom prst="rect">
          <a:avLst/>
        </a:prstGeom>
      </xdr:spPr>
    </xdr:pic>
    <xdr:clientData/>
  </xdr:oneCellAnchor>
  <xdr:oneCellAnchor>
    <xdr:from>
      <xdr:col>1</xdr:col>
      <xdr:colOff>258366</xdr:colOff>
      <xdr:row>1</xdr:row>
      <xdr:rowOff>271842</xdr:rowOff>
    </xdr:from>
    <xdr:ext cx="1672034" cy="913492"/>
    <xdr:pic>
      <xdr:nvPicPr>
        <xdr:cNvPr id="5" name="Picture 1">
          <a:extLst>
            <a:ext uri="{FF2B5EF4-FFF2-40B4-BE49-F238E27FC236}">
              <a16:creationId xmlns:a16="http://schemas.microsoft.com/office/drawing/2014/main" id="{549B01FA-A6F1-3647-9CCB-B399A043DB33}"/>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866" y="652842"/>
          <a:ext cx="1672034" cy="913492"/>
        </a:xfrm>
        <a:prstGeom prst="rect">
          <a:avLst/>
        </a:prstGeom>
      </xdr:spPr>
    </xdr:pic>
    <xdr:clientData/>
  </xdr:oneCellAnchor>
</xdr:wsDr>
</file>

<file path=xl/drawings/drawing9.xml><?xml version="1.0" encoding="utf-8"?>
<c:userShapes xmlns:c="http://schemas.openxmlformats.org/drawingml/2006/chart">
  <cdr:relSizeAnchor xmlns:cdr="http://schemas.openxmlformats.org/drawingml/2006/chartDrawing">
    <cdr:from>
      <cdr:x>0.27426</cdr:x>
      <cdr:y>0.72095</cdr:y>
    </cdr:from>
    <cdr:to>
      <cdr:x>0.44937</cdr:x>
      <cdr:y>0.78649</cdr:y>
    </cdr:to>
    <cdr:sp macro="" textlink="">
      <cdr:nvSpPr>
        <cdr:cNvPr id="2" name="CuadroTexto 1">
          <a:extLst xmlns:a="http://schemas.openxmlformats.org/drawingml/2006/main">
            <a:ext uri="{FF2B5EF4-FFF2-40B4-BE49-F238E27FC236}">
              <a16:creationId xmlns:a16="http://schemas.microsoft.com/office/drawing/2014/main" id="{FADB77DB-B696-FE48-B9EF-AEF9678376DA}"/>
            </a:ext>
          </a:extLst>
        </cdr:cNvPr>
        <cdr:cNvSpPr txBox="1"/>
      </cdr:nvSpPr>
      <cdr:spPr>
        <a:xfrm xmlns:a="http://schemas.openxmlformats.org/drawingml/2006/main">
          <a:off x="1651000" y="3632200"/>
          <a:ext cx="1054100" cy="3302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s-ES_tradnl" sz="1100"/>
            <a:t>UTILITARY</a:t>
          </a:r>
        </a:p>
      </cdr:txBody>
    </cdr:sp>
  </cdr:relSizeAnchor>
  <cdr:relSizeAnchor xmlns:cdr="http://schemas.openxmlformats.org/drawingml/2006/chartDrawing">
    <cdr:from>
      <cdr:x>0.56963</cdr:x>
      <cdr:y>0.71591</cdr:y>
    </cdr:from>
    <cdr:to>
      <cdr:x>0.74473</cdr:x>
      <cdr:y>0.78145</cdr:y>
    </cdr:to>
    <cdr:sp macro="" textlink="">
      <cdr:nvSpPr>
        <cdr:cNvPr id="3" name="CuadroTexto 1">
          <a:extLst xmlns:a="http://schemas.openxmlformats.org/drawingml/2006/main">
            <a:ext uri="{FF2B5EF4-FFF2-40B4-BE49-F238E27FC236}">
              <a16:creationId xmlns:a16="http://schemas.microsoft.com/office/drawing/2014/main" id="{32A46840-EB92-BF44-B384-0C6B598B3457}"/>
            </a:ext>
          </a:extLst>
        </cdr:cNvPr>
        <cdr:cNvSpPr txBox="1"/>
      </cdr:nvSpPr>
      <cdr:spPr>
        <a:xfrm xmlns:a="http://schemas.openxmlformats.org/drawingml/2006/main">
          <a:off x="3429000" y="3606800"/>
          <a:ext cx="1054100" cy="3302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s-ES_tradnl" sz="1100"/>
            <a:t>NORMAL</a:t>
          </a:r>
        </a:p>
      </cdr:txBody>
    </cdr:sp>
  </cdr:relSizeAnchor>
</c:userShape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scueladeaviacionflying.co/briefing-tool/sms-programas-prevac/"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bin"/><Relationship Id="rId1" Type="http://schemas.openxmlformats.org/officeDocument/2006/relationships/hyperlink" Target="https://escueladeaviacionflying.co/briefing-tool/sms-programas-prevac/"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86972-0E95-E24F-A045-E2796CCFB72D}">
  <sheetPr codeName="Hoja1">
    <tabColor rgb="FF0070C0"/>
  </sheetPr>
  <dimension ref="A1:CV85"/>
  <sheetViews>
    <sheetView topLeftCell="M30" zoomScale="60" zoomScaleNormal="60" zoomScaleSheetLayoutView="70" zoomScalePageLayoutView="25" workbookViewId="0">
      <selection activeCell="AF10" sqref="AF10"/>
    </sheetView>
  </sheetViews>
  <sheetFormatPr baseColWidth="10" defaultColWidth="0" defaultRowHeight="0" customHeight="1" zeroHeight="1" x14ac:dyDescent="0.3"/>
  <cols>
    <col min="1" max="1" width="7.44140625" style="13" customWidth="1"/>
    <col min="2" max="2" width="6.109375" style="13" customWidth="1"/>
    <col min="3" max="3" width="22.44140625" style="13" customWidth="1"/>
    <col min="4" max="4" width="6.109375" style="13" customWidth="1"/>
    <col min="5" max="5" width="22.44140625" style="13" customWidth="1"/>
    <col min="6" max="6" width="6.109375" style="13" customWidth="1"/>
    <col min="7" max="7" width="22.44140625" style="13" customWidth="1"/>
    <col min="8" max="8" width="6.109375" style="13" customWidth="1"/>
    <col min="9" max="9" width="22.44140625" style="13" customWidth="1"/>
    <col min="10" max="10" width="2.88671875" style="13" customWidth="1"/>
    <col min="11" max="11" width="33.88671875" style="13" customWidth="1"/>
    <col min="12" max="13" width="11.88671875" style="12" customWidth="1"/>
    <col min="14" max="15" width="8.88671875" style="12" hidden="1" customWidth="1"/>
    <col min="16" max="16" width="2.88671875" style="13" customWidth="1"/>
    <col min="17" max="18" width="8.88671875" style="12" customWidth="1"/>
    <col min="19" max="22" width="8.88671875" style="12" hidden="1" customWidth="1"/>
    <col min="23" max="24" width="2.88671875" style="13" customWidth="1"/>
    <col min="25" max="25" width="30.6640625" style="47" customWidth="1"/>
    <col min="26" max="26" width="26.44140625" style="13" customWidth="1"/>
    <col min="27" max="27" width="30.6640625" style="13" customWidth="1"/>
    <col min="28" max="28" width="26.44140625" style="13" customWidth="1"/>
    <col min="29" max="29" width="7.33203125" style="9" customWidth="1"/>
    <col min="30" max="30" width="28.33203125" style="13" customWidth="1"/>
    <col min="31" max="31" width="23.88671875" style="13" customWidth="1"/>
    <col min="32" max="34" width="20" style="13" customWidth="1"/>
    <col min="35" max="35" width="9.88671875" style="13" customWidth="1"/>
    <col min="36" max="41" width="11.44140625" style="12" hidden="1" customWidth="1"/>
    <col min="42" max="44" width="14.109375" style="13" hidden="1" customWidth="1"/>
    <col min="45" max="50" width="11.44140625" style="13" hidden="1" customWidth="1"/>
    <col min="51" max="51" width="30.109375" style="13" hidden="1" customWidth="1"/>
    <col min="52" max="57" width="11.44140625" style="13" hidden="1" customWidth="1"/>
    <col min="58" max="58" width="29.44140625" style="13" hidden="1" customWidth="1"/>
    <col min="59" max="59" width="7" style="13" hidden="1" customWidth="1"/>
    <col min="60" max="60" width="30.88671875" style="13" hidden="1" customWidth="1"/>
    <col min="61" max="61" width="7" style="13" hidden="1" customWidth="1"/>
    <col min="62" max="62" width="19.6640625" style="13" hidden="1" customWidth="1"/>
    <col min="63" max="63" width="7" style="13" hidden="1" customWidth="1"/>
    <col min="64" max="64" width="31.6640625" style="13" hidden="1" customWidth="1"/>
    <col min="65" max="65" width="7" style="13" hidden="1" customWidth="1"/>
    <col min="66" max="66" width="26.33203125" style="13" hidden="1" customWidth="1"/>
    <col min="67" max="67" width="7" style="13" hidden="1" customWidth="1"/>
    <col min="68" max="68" width="20.6640625" style="12" hidden="1" customWidth="1"/>
    <col min="69" max="69" width="7" style="13" hidden="1" customWidth="1"/>
    <col min="70" max="70" width="21" style="13" hidden="1" customWidth="1"/>
    <col min="71" max="73" width="7" style="13" hidden="1" customWidth="1"/>
    <col min="74" max="74" width="18.6640625" style="13" hidden="1" customWidth="1"/>
    <col min="75" max="75" width="7" style="12" hidden="1" customWidth="1"/>
    <col min="76" max="76" width="17.6640625" style="13" hidden="1" customWidth="1"/>
    <col min="77" max="77" width="7" style="13" hidden="1" customWidth="1"/>
    <col min="78" max="78" width="21.6640625" style="13" hidden="1" customWidth="1"/>
    <col min="79" max="79" width="7" style="13" hidden="1" customWidth="1"/>
    <col min="80" max="80" width="14.109375" style="13" hidden="1" customWidth="1"/>
    <col min="81" max="81" width="7" style="13" hidden="1" customWidth="1"/>
    <col min="82" max="82" width="13.6640625" style="13" hidden="1" customWidth="1"/>
    <col min="83" max="83" width="7" style="13" hidden="1" customWidth="1"/>
    <col min="84" max="84" width="17.33203125" style="13" hidden="1" customWidth="1"/>
    <col min="85" max="85" width="7" style="13" hidden="1" customWidth="1"/>
    <col min="86" max="86" width="20" style="13" hidden="1" customWidth="1"/>
    <col min="87" max="87" width="7" style="13" hidden="1" customWidth="1"/>
    <col min="88" max="88" width="15.88671875" style="13" hidden="1" customWidth="1"/>
    <col min="89" max="89" width="7" style="13" hidden="1" customWidth="1"/>
    <col min="90" max="90" width="22.33203125" style="13" hidden="1" customWidth="1"/>
    <col min="91" max="91" width="7.44140625" style="13" hidden="1" customWidth="1"/>
    <col min="92" max="92" width="29.44140625" style="13" hidden="1" customWidth="1"/>
    <col min="93" max="93" width="7.44140625" style="13" hidden="1" customWidth="1"/>
    <col min="94" max="94" width="29.88671875" style="13" hidden="1" customWidth="1"/>
    <col min="95" max="95" width="7.44140625" style="13" hidden="1" customWidth="1"/>
    <col min="96" max="97" width="28" style="13" hidden="1" customWidth="1"/>
    <col min="98" max="98" width="20.88671875" style="13" hidden="1" customWidth="1"/>
    <col min="99" max="99" width="28" style="13" hidden="1" customWidth="1"/>
    <col min="100" max="100" width="20.88671875" style="13" hidden="1" customWidth="1"/>
    <col min="101" max="16384" width="11.44140625" style="13" hidden="1"/>
  </cols>
  <sheetData>
    <row r="1" spans="1:95" ht="20.100000000000001" customHeight="1" x14ac:dyDescent="0.3">
      <c r="A1" s="9"/>
      <c r="B1" s="9"/>
      <c r="C1" s="9"/>
      <c r="D1" s="9"/>
      <c r="E1" s="9"/>
      <c r="F1" s="9"/>
      <c r="G1" s="9"/>
      <c r="H1" s="9"/>
      <c r="I1" s="9"/>
      <c r="J1" s="9"/>
      <c r="K1" s="9"/>
      <c r="L1" s="10"/>
      <c r="M1" s="10"/>
      <c r="N1" s="10"/>
      <c r="O1" s="10"/>
      <c r="P1" s="9"/>
      <c r="Q1" s="10"/>
      <c r="R1" s="10"/>
      <c r="S1" s="10"/>
      <c r="T1" s="10"/>
      <c r="U1" s="10"/>
      <c r="V1" s="10"/>
      <c r="W1" s="9"/>
      <c r="X1" s="9"/>
      <c r="Y1" s="11"/>
      <c r="Z1" s="9"/>
      <c r="AA1" s="9"/>
      <c r="AB1" s="11"/>
      <c r="AC1" s="11"/>
      <c r="AD1" s="9"/>
      <c r="AE1" s="9"/>
      <c r="AF1" s="9"/>
      <c r="AG1" s="9"/>
      <c r="AH1" s="9"/>
      <c r="AI1" s="9"/>
    </row>
    <row r="2" spans="1:95" ht="32.1" customHeight="1" x14ac:dyDescent="0.3">
      <c r="A2" s="9"/>
      <c r="B2" s="323"/>
      <c r="C2" s="324"/>
      <c r="D2" s="329" t="s">
        <v>0</v>
      </c>
      <c r="E2" s="330"/>
      <c r="F2" s="330"/>
      <c r="G2" s="330"/>
      <c r="H2" s="330"/>
      <c r="I2" s="330"/>
      <c r="J2" s="330"/>
      <c r="K2" s="330"/>
      <c r="L2" s="330"/>
      <c r="M2" s="330"/>
      <c r="N2" s="330"/>
      <c r="O2" s="330"/>
      <c r="P2" s="330"/>
      <c r="Q2" s="330"/>
      <c r="R2" s="330"/>
      <c r="S2" s="330"/>
      <c r="T2" s="330"/>
      <c r="U2" s="330"/>
      <c r="V2" s="330"/>
      <c r="W2" s="330"/>
      <c r="X2" s="330"/>
      <c r="Y2" s="330"/>
      <c r="Z2" s="330"/>
      <c r="AA2" s="331"/>
      <c r="AB2" s="290" t="s">
        <v>864</v>
      </c>
      <c r="AC2" s="137"/>
      <c r="AD2" s="428" t="s">
        <v>707</v>
      </c>
      <c r="AE2" s="429"/>
      <c r="AF2" s="429"/>
      <c r="AG2" s="429"/>
      <c r="AH2" s="430"/>
      <c r="AI2" s="9"/>
      <c r="AY2" s="14" t="s">
        <v>132</v>
      </c>
      <c r="AZ2" s="14">
        <v>1</v>
      </c>
      <c r="BA2" s="14">
        <v>2</v>
      </c>
      <c r="BB2" s="14">
        <v>3</v>
      </c>
      <c r="BC2" s="14">
        <v>4</v>
      </c>
      <c r="BD2" s="14">
        <v>5</v>
      </c>
      <c r="BF2" s="15" t="s">
        <v>141</v>
      </c>
      <c r="BG2" s="14"/>
      <c r="BH2" s="15" t="s">
        <v>142</v>
      </c>
      <c r="BI2" s="14"/>
      <c r="BJ2" s="116" t="s">
        <v>164</v>
      </c>
      <c r="BK2" s="14"/>
      <c r="BL2" s="116" t="s">
        <v>162</v>
      </c>
      <c r="BM2" s="14"/>
      <c r="BN2" s="116" t="s">
        <v>165</v>
      </c>
      <c r="BO2" s="14"/>
      <c r="BP2" s="16" t="s">
        <v>225</v>
      </c>
      <c r="BQ2" s="14"/>
      <c r="BR2" s="116" t="s">
        <v>166</v>
      </c>
      <c r="BS2" s="14"/>
      <c r="BT2" s="14" t="s">
        <v>231</v>
      </c>
      <c r="BU2" s="14"/>
      <c r="BV2" s="16" t="s">
        <v>875</v>
      </c>
      <c r="BW2" s="14"/>
      <c r="BX2" s="15" t="s">
        <v>152</v>
      </c>
      <c r="BY2" s="14"/>
      <c r="BZ2" s="15" t="s">
        <v>155</v>
      </c>
      <c r="CA2" s="14"/>
      <c r="CB2" s="15" t="s">
        <v>134</v>
      </c>
      <c r="CC2" s="14"/>
      <c r="CD2" s="15" t="s">
        <v>135</v>
      </c>
      <c r="CE2" s="14"/>
      <c r="CF2" s="15" t="s">
        <v>136</v>
      </c>
      <c r="CG2" s="14"/>
      <c r="CH2" s="15" t="s">
        <v>137</v>
      </c>
      <c r="CI2" s="14"/>
      <c r="CJ2" s="15" t="s">
        <v>138</v>
      </c>
      <c r="CK2" s="14"/>
      <c r="CL2" s="15" t="s">
        <v>139</v>
      </c>
      <c r="CM2" s="15"/>
      <c r="CN2" s="15" t="s">
        <v>153</v>
      </c>
      <c r="CO2" s="15"/>
      <c r="CP2" s="15" t="s">
        <v>154</v>
      </c>
      <c r="CQ2" s="15"/>
    </row>
    <row r="3" spans="1:95" ht="32.1" customHeight="1" x14ac:dyDescent="0.3">
      <c r="A3" s="9"/>
      <c r="B3" s="325"/>
      <c r="C3" s="326"/>
      <c r="D3" s="332" t="s">
        <v>403</v>
      </c>
      <c r="E3" s="333"/>
      <c r="F3" s="333"/>
      <c r="G3" s="333"/>
      <c r="H3" s="333"/>
      <c r="I3" s="333"/>
      <c r="J3" s="333"/>
      <c r="K3" s="333"/>
      <c r="L3" s="333"/>
      <c r="M3" s="333"/>
      <c r="N3" s="333"/>
      <c r="O3" s="333"/>
      <c r="P3" s="333"/>
      <c r="Q3" s="333"/>
      <c r="R3" s="333"/>
      <c r="S3" s="333"/>
      <c r="T3" s="333"/>
      <c r="U3" s="333"/>
      <c r="V3" s="333"/>
      <c r="W3" s="333"/>
      <c r="X3" s="333"/>
      <c r="Y3" s="333"/>
      <c r="Z3" s="333"/>
      <c r="AA3" s="334"/>
      <c r="AB3" s="291" t="s">
        <v>549</v>
      </c>
      <c r="AC3" s="137"/>
      <c r="AD3" s="431"/>
      <c r="AE3" s="432"/>
      <c r="AF3" s="432"/>
      <c r="AG3" s="432"/>
      <c r="AH3" s="433"/>
      <c r="AI3" s="9"/>
      <c r="AY3" s="14" t="s">
        <v>133</v>
      </c>
      <c r="AZ3" s="14"/>
      <c r="BA3" s="14"/>
      <c r="BB3" s="14"/>
      <c r="BC3" s="14"/>
      <c r="BD3" s="14"/>
      <c r="BF3" s="15" t="s">
        <v>181</v>
      </c>
      <c r="BG3" s="16">
        <v>1</v>
      </c>
      <c r="BH3" s="15" t="s">
        <v>183</v>
      </c>
      <c r="BI3" s="16">
        <v>1</v>
      </c>
      <c r="BJ3" s="15" t="s">
        <v>187</v>
      </c>
      <c r="BK3" s="16">
        <v>1</v>
      </c>
      <c r="BL3" s="15" t="s">
        <v>198</v>
      </c>
      <c r="BM3" s="16">
        <v>1</v>
      </c>
      <c r="BN3" s="15" t="s">
        <v>183</v>
      </c>
      <c r="BO3" s="16">
        <v>1</v>
      </c>
      <c r="BP3" s="16" t="s">
        <v>230</v>
      </c>
      <c r="BQ3" s="16">
        <v>1</v>
      </c>
      <c r="BR3" s="15" t="s">
        <v>190</v>
      </c>
      <c r="BS3" s="16">
        <v>1</v>
      </c>
      <c r="BT3" s="16" t="s">
        <v>215</v>
      </c>
      <c r="BU3" s="16">
        <v>1</v>
      </c>
      <c r="BV3" s="16" t="s">
        <v>98</v>
      </c>
      <c r="BW3" s="16">
        <v>5</v>
      </c>
      <c r="BX3" s="16" t="s">
        <v>219</v>
      </c>
      <c r="BY3" s="16">
        <v>1</v>
      </c>
      <c r="BZ3" s="15" t="s">
        <v>215</v>
      </c>
      <c r="CA3" s="16">
        <v>1</v>
      </c>
      <c r="CB3" s="15" t="s">
        <v>169</v>
      </c>
      <c r="CC3" s="16">
        <v>1</v>
      </c>
      <c r="CD3" s="15" t="s">
        <v>172</v>
      </c>
      <c r="CE3" s="16">
        <v>1</v>
      </c>
      <c r="CF3" s="16" t="s">
        <v>234</v>
      </c>
      <c r="CG3" s="16">
        <v>1</v>
      </c>
      <c r="CH3" s="16" t="s">
        <v>215</v>
      </c>
      <c r="CI3" s="16">
        <v>1</v>
      </c>
      <c r="CJ3" s="16" t="s">
        <v>238</v>
      </c>
      <c r="CK3" s="16">
        <v>1</v>
      </c>
      <c r="CL3" s="15">
        <v>1</v>
      </c>
      <c r="CM3" s="15">
        <v>1</v>
      </c>
      <c r="CN3" s="105" t="s">
        <v>248</v>
      </c>
      <c r="CO3" s="15">
        <v>1</v>
      </c>
      <c r="CP3" s="16" t="s">
        <v>246</v>
      </c>
      <c r="CQ3" s="15">
        <v>1</v>
      </c>
    </row>
    <row r="4" spans="1:95" ht="32.1" customHeight="1" x14ac:dyDescent="0.3">
      <c r="A4" s="9"/>
      <c r="B4" s="325"/>
      <c r="C4" s="326"/>
      <c r="D4" s="335" t="s">
        <v>862</v>
      </c>
      <c r="E4" s="335"/>
      <c r="F4" s="335"/>
      <c r="G4" s="335"/>
      <c r="H4" s="335"/>
      <c r="I4" s="335"/>
      <c r="J4" s="335"/>
      <c r="K4" s="335"/>
      <c r="L4" s="335"/>
      <c r="M4" s="335"/>
      <c r="N4" s="335"/>
      <c r="O4" s="335"/>
      <c r="P4" s="335"/>
      <c r="Q4" s="335"/>
      <c r="R4" s="335"/>
      <c r="S4" s="335"/>
      <c r="T4" s="335"/>
      <c r="U4" s="335"/>
      <c r="V4" s="335"/>
      <c r="W4" s="335"/>
      <c r="X4" s="335"/>
      <c r="Y4" s="335"/>
      <c r="Z4" s="335"/>
      <c r="AA4" s="335"/>
      <c r="AB4" s="292" t="s">
        <v>947</v>
      </c>
      <c r="AC4" s="137"/>
      <c r="AD4" s="431"/>
      <c r="AE4" s="432"/>
      <c r="AF4" s="432"/>
      <c r="AG4" s="432"/>
      <c r="AH4" s="433"/>
      <c r="AI4" s="9"/>
      <c r="AY4" s="15" t="s">
        <v>134</v>
      </c>
      <c r="AZ4" s="15" t="s">
        <v>169</v>
      </c>
      <c r="BA4" s="15"/>
      <c r="BB4" s="15" t="s">
        <v>170</v>
      </c>
      <c r="BC4" s="15"/>
      <c r="BD4" s="15" t="s">
        <v>171</v>
      </c>
      <c r="BF4" s="15" t="s">
        <v>182</v>
      </c>
      <c r="BG4" s="16">
        <v>5</v>
      </c>
      <c r="BH4" s="15" t="s">
        <v>184</v>
      </c>
      <c r="BI4" s="16">
        <v>2</v>
      </c>
      <c r="BJ4" s="17" t="s">
        <v>188</v>
      </c>
      <c r="BK4" s="16">
        <v>3</v>
      </c>
      <c r="BL4" s="15" t="s">
        <v>199</v>
      </c>
      <c r="BM4" s="16">
        <v>3</v>
      </c>
      <c r="BN4" s="15" t="s">
        <v>184</v>
      </c>
      <c r="BO4" s="16">
        <v>2</v>
      </c>
      <c r="BP4" s="16" t="s">
        <v>229</v>
      </c>
      <c r="BQ4" s="16">
        <v>2</v>
      </c>
      <c r="BR4" s="15" t="s">
        <v>191</v>
      </c>
      <c r="BS4" s="16">
        <v>2</v>
      </c>
      <c r="BT4" s="16" t="s">
        <v>232</v>
      </c>
      <c r="BU4" s="16">
        <v>5</v>
      </c>
      <c r="BV4" s="16" t="s">
        <v>107</v>
      </c>
      <c r="BW4" s="16">
        <v>2</v>
      </c>
      <c r="BX4" s="16" t="s">
        <v>220</v>
      </c>
      <c r="BY4" s="16">
        <v>2</v>
      </c>
      <c r="BZ4" s="15" t="s">
        <v>216</v>
      </c>
      <c r="CA4" s="16">
        <v>2</v>
      </c>
      <c r="CB4" s="15" t="s">
        <v>170</v>
      </c>
      <c r="CC4" s="16">
        <v>3</v>
      </c>
      <c r="CD4" s="16" t="s">
        <v>254</v>
      </c>
      <c r="CE4" s="16">
        <v>3</v>
      </c>
      <c r="CF4" s="16" t="s">
        <v>235</v>
      </c>
      <c r="CG4" s="16">
        <v>3</v>
      </c>
      <c r="CH4" s="16" t="s">
        <v>232</v>
      </c>
      <c r="CI4" s="16">
        <v>5</v>
      </c>
      <c r="CJ4" s="16" t="s">
        <v>240</v>
      </c>
      <c r="CK4" s="16">
        <v>3</v>
      </c>
      <c r="CL4" s="15">
        <v>2</v>
      </c>
      <c r="CM4" s="15">
        <v>2</v>
      </c>
      <c r="CN4" s="105" t="s">
        <v>249</v>
      </c>
      <c r="CO4" s="15">
        <v>3</v>
      </c>
      <c r="CP4" s="16" t="s">
        <v>245</v>
      </c>
      <c r="CQ4" s="15">
        <v>3</v>
      </c>
    </row>
    <row r="5" spans="1:95" ht="32.1" customHeight="1" x14ac:dyDescent="0.3">
      <c r="A5" s="9"/>
      <c r="B5" s="327"/>
      <c r="C5" s="328"/>
      <c r="D5" s="336"/>
      <c r="E5" s="336"/>
      <c r="F5" s="336"/>
      <c r="G5" s="336"/>
      <c r="H5" s="336"/>
      <c r="I5" s="336"/>
      <c r="J5" s="336"/>
      <c r="K5" s="336"/>
      <c r="L5" s="336"/>
      <c r="M5" s="336"/>
      <c r="N5" s="336"/>
      <c r="O5" s="336"/>
      <c r="P5" s="336"/>
      <c r="Q5" s="336"/>
      <c r="R5" s="336"/>
      <c r="S5" s="336"/>
      <c r="T5" s="336"/>
      <c r="U5" s="336"/>
      <c r="V5" s="336"/>
      <c r="W5" s="336"/>
      <c r="X5" s="336"/>
      <c r="Y5" s="336"/>
      <c r="Z5" s="336"/>
      <c r="AA5" s="336"/>
      <c r="AB5" s="293" t="s">
        <v>948</v>
      </c>
      <c r="AC5" s="137"/>
      <c r="AD5" s="434"/>
      <c r="AE5" s="435"/>
      <c r="AF5" s="435"/>
      <c r="AG5" s="435"/>
      <c r="AH5" s="436"/>
      <c r="AI5" s="9"/>
      <c r="AY5" s="15" t="s">
        <v>135</v>
      </c>
      <c r="AZ5" s="15" t="s">
        <v>172</v>
      </c>
      <c r="BA5" s="15"/>
      <c r="BB5" s="15" t="s">
        <v>173</v>
      </c>
      <c r="BC5" s="15"/>
      <c r="BD5" s="15" t="s">
        <v>174</v>
      </c>
      <c r="BF5" s="15"/>
      <c r="BG5" s="16"/>
      <c r="BH5" s="17" t="s">
        <v>185</v>
      </c>
      <c r="BI5" s="16">
        <v>3</v>
      </c>
      <c r="BJ5" s="15" t="s">
        <v>189</v>
      </c>
      <c r="BK5" s="16">
        <v>5</v>
      </c>
      <c r="BL5" s="15" t="s">
        <v>200</v>
      </c>
      <c r="BM5" s="16">
        <v>5</v>
      </c>
      <c r="BN5" s="17" t="s">
        <v>185</v>
      </c>
      <c r="BO5" s="16">
        <v>3</v>
      </c>
      <c r="BP5" s="16" t="s">
        <v>228</v>
      </c>
      <c r="BQ5" s="16">
        <v>3</v>
      </c>
      <c r="BR5" s="15" t="s">
        <v>192</v>
      </c>
      <c r="BS5" s="16">
        <v>3</v>
      </c>
      <c r="BT5" s="16"/>
      <c r="BU5" s="16"/>
      <c r="BV5" s="18" t="s">
        <v>115</v>
      </c>
      <c r="BW5" s="16">
        <v>15</v>
      </c>
      <c r="BX5" s="16" t="s">
        <v>221</v>
      </c>
      <c r="BY5" s="16">
        <v>3</v>
      </c>
      <c r="BZ5" s="15" t="s">
        <v>217</v>
      </c>
      <c r="CA5" s="16">
        <v>4</v>
      </c>
      <c r="CB5" s="15" t="s">
        <v>171</v>
      </c>
      <c r="CC5" s="16">
        <v>5</v>
      </c>
      <c r="CD5" s="16" t="s">
        <v>253</v>
      </c>
      <c r="CE5" s="16">
        <v>5</v>
      </c>
      <c r="CF5" s="16" t="s">
        <v>236</v>
      </c>
      <c r="CG5" s="16">
        <v>5</v>
      </c>
      <c r="CH5" s="16" t="s">
        <v>116</v>
      </c>
      <c r="CI5" s="16">
        <v>0</v>
      </c>
      <c r="CJ5" s="16" t="s">
        <v>239</v>
      </c>
      <c r="CK5" s="16">
        <v>5</v>
      </c>
      <c r="CL5" s="15">
        <v>3</v>
      </c>
      <c r="CM5" s="15">
        <v>3</v>
      </c>
      <c r="CN5" s="105" t="s">
        <v>250</v>
      </c>
      <c r="CO5" s="15">
        <v>5</v>
      </c>
      <c r="CP5" s="16" t="s">
        <v>247</v>
      </c>
      <c r="CQ5" s="15">
        <v>5</v>
      </c>
    </row>
    <row r="6" spans="1:95" ht="21.9" customHeight="1" x14ac:dyDescent="0.3">
      <c r="A6" s="9"/>
      <c r="B6" s="337" t="str">
        <f>CONCATENATE(D8,AO13,D9,AO13,H8,AO13,H9,AO13,AB8,AO13,AF9,AO13,AF10,AO13,N12,AO13,O12,AO13,N13,AO13,O13,AO13,N14,AO13,O14,AO13,N16,AO13,N17,AO13,N18,AO13,N19,AO13,N20,AO13,N22,AO13,N23,AO13,N24,AO13,N26,AO13,O26,AO13,N27,AO13,O27,AO13,N28,AO13,O28,AO13,N29,AO13,O29,AO13,N30,AO13,O30,AO13,N31,AO13,O31,AO13,N32,AO13,O32,AO13,N34,AO13,B29,AO13,F23)</f>
        <v xml:space="preserve"> ,  ,  ,  ,  , IVA 2459 ,  , 0 , 0 , 0 , 0 , 0 , 0 , 0 , 0 , 0 , 0 , 0 , 0 , 0 , 0 , 0 , 0 , 0 , 0 , 0 , 0 , 0 , 0 , 0 , 0 , 0 , 0 , 0 , 0 , 0 ,  , 0</v>
      </c>
      <c r="C6" s="337"/>
      <c r="D6" s="337"/>
      <c r="E6" s="337"/>
      <c r="F6" s="337"/>
      <c r="G6" s="337"/>
      <c r="H6" s="337"/>
      <c r="I6" s="337"/>
      <c r="J6" s="337"/>
      <c r="K6" s="337"/>
      <c r="L6" s="337"/>
      <c r="M6" s="337"/>
      <c r="N6" s="337"/>
      <c r="O6" s="337"/>
      <c r="P6" s="337"/>
      <c r="Q6" s="337"/>
      <c r="R6" s="337"/>
      <c r="S6" s="337"/>
      <c r="T6" s="337"/>
      <c r="U6" s="337"/>
      <c r="V6" s="337"/>
      <c r="W6" s="337"/>
      <c r="X6" s="337"/>
      <c r="Y6" s="337"/>
      <c r="Z6" s="337"/>
      <c r="AA6" s="337"/>
      <c r="AB6" s="337"/>
      <c r="AD6" s="9"/>
      <c r="AE6" s="9"/>
      <c r="AF6" s="9"/>
      <c r="AG6" s="9"/>
      <c r="AH6" s="9"/>
      <c r="AI6" s="9"/>
      <c r="AY6" s="15" t="s">
        <v>136</v>
      </c>
      <c r="AZ6" s="15" t="s">
        <v>175</v>
      </c>
      <c r="BA6" s="15"/>
      <c r="BB6" s="15" t="s">
        <v>176</v>
      </c>
      <c r="BC6" s="15"/>
      <c r="BD6" s="15" t="s">
        <v>177</v>
      </c>
      <c r="BF6" s="15"/>
      <c r="BG6" s="16"/>
      <c r="BH6" s="15" t="s">
        <v>186</v>
      </c>
      <c r="BI6" s="16">
        <v>4</v>
      </c>
      <c r="BJ6" s="15"/>
      <c r="BK6" s="16"/>
      <c r="BL6" s="15"/>
      <c r="BM6" s="16"/>
      <c r="BN6" s="15" t="s">
        <v>186</v>
      </c>
      <c r="BO6" s="16">
        <v>4</v>
      </c>
      <c r="BP6" s="16" t="s">
        <v>227</v>
      </c>
      <c r="BQ6" s="16">
        <v>4</v>
      </c>
      <c r="BR6" s="15" t="s">
        <v>193</v>
      </c>
      <c r="BS6" s="16">
        <v>4</v>
      </c>
      <c r="BT6" s="16"/>
      <c r="BU6" s="104"/>
      <c r="BV6" s="16" t="s">
        <v>117</v>
      </c>
      <c r="BW6" s="16">
        <v>2</v>
      </c>
      <c r="BX6" s="105" t="s">
        <v>222</v>
      </c>
      <c r="BY6" s="16">
        <v>4</v>
      </c>
      <c r="BZ6" s="15" t="s">
        <v>218</v>
      </c>
      <c r="CA6" s="16">
        <v>5</v>
      </c>
      <c r="CB6" s="16" t="s">
        <v>116</v>
      </c>
      <c r="CC6" s="16">
        <v>0</v>
      </c>
      <c r="CD6" s="16" t="s">
        <v>116</v>
      </c>
      <c r="CE6" s="16">
        <v>0</v>
      </c>
      <c r="CF6" s="16" t="s">
        <v>116</v>
      </c>
      <c r="CG6" s="16">
        <v>0</v>
      </c>
      <c r="CH6" s="15"/>
      <c r="CI6" s="16"/>
      <c r="CJ6" s="16" t="s">
        <v>116</v>
      </c>
      <c r="CK6" s="16">
        <v>0</v>
      </c>
      <c r="CL6" s="15">
        <v>4</v>
      </c>
      <c r="CM6" s="15">
        <v>4</v>
      </c>
      <c r="CN6" s="105" t="s">
        <v>116</v>
      </c>
      <c r="CO6" s="15">
        <v>0</v>
      </c>
      <c r="CP6" s="16" t="s">
        <v>116</v>
      </c>
      <c r="CQ6" s="15">
        <v>0</v>
      </c>
    </row>
    <row r="7" spans="1:95" ht="32.1" customHeight="1" x14ac:dyDescent="0.3">
      <c r="A7" s="9"/>
      <c r="B7" s="338" t="s">
        <v>1</v>
      </c>
      <c r="C7" s="338"/>
      <c r="D7" s="338"/>
      <c r="E7" s="338"/>
      <c r="F7" s="338"/>
      <c r="G7" s="338"/>
      <c r="H7" s="338"/>
      <c r="I7" s="338"/>
      <c r="J7" s="338"/>
      <c r="K7" s="338"/>
      <c r="L7" s="338"/>
      <c r="M7" s="338"/>
      <c r="N7" s="338"/>
      <c r="O7" s="338"/>
      <c r="P7" s="338"/>
      <c r="Q7" s="338"/>
      <c r="R7" s="338"/>
      <c r="S7" s="338"/>
      <c r="T7" s="338"/>
      <c r="U7" s="338"/>
      <c r="V7" s="338"/>
      <c r="W7" s="338"/>
      <c r="X7" s="338"/>
      <c r="Y7" s="338"/>
      <c r="Z7" s="338"/>
      <c r="AA7" s="338"/>
      <c r="AB7" s="338"/>
      <c r="AC7" s="52"/>
      <c r="AD7" s="138" t="s">
        <v>2</v>
      </c>
      <c r="AE7" s="139"/>
      <c r="AF7" s="139"/>
      <c r="AG7" s="139"/>
      <c r="AH7" s="140"/>
      <c r="AI7" s="9"/>
      <c r="AJ7" s="459" t="s">
        <v>3</v>
      </c>
      <c r="AK7" s="460"/>
      <c r="AL7" s="19" t="s">
        <v>4</v>
      </c>
      <c r="AM7" s="19"/>
      <c r="AY7" s="15" t="s">
        <v>137</v>
      </c>
      <c r="AZ7" s="15" t="s">
        <v>108</v>
      </c>
      <c r="BA7" s="15"/>
      <c r="BB7" s="15"/>
      <c r="BC7" s="15"/>
      <c r="BD7" s="15" t="s">
        <v>99</v>
      </c>
      <c r="BG7" s="16"/>
      <c r="BH7" s="15"/>
      <c r="BI7" s="16"/>
      <c r="BK7" s="16"/>
      <c r="BM7" s="16"/>
      <c r="BN7" s="15"/>
      <c r="BO7" s="16"/>
      <c r="BP7" s="12" t="s">
        <v>226</v>
      </c>
      <c r="BQ7" s="16">
        <v>5</v>
      </c>
      <c r="BR7" s="15" t="s">
        <v>194</v>
      </c>
      <c r="BS7" s="16">
        <v>5</v>
      </c>
      <c r="BT7" s="16"/>
      <c r="BU7" s="104"/>
      <c r="BV7" s="16" t="s">
        <v>119</v>
      </c>
      <c r="BW7" s="16">
        <v>15</v>
      </c>
      <c r="BX7" s="105" t="s">
        <v>190</v>
      </c>
      <c r="BY7" s="16">
        <v>5</v>
      </c>
      <c r="CA7" s="16"/>
      <c r="CC7" s="16"/>
      <c r="CE7" s="16"/>
      <c r="CG7" s="16"/>
      <c r="CI7" s="16"/>
      <c r="CK7" s="16"/>
      <c r="CL7" s="15">
        <v>5</v>
      </c>
      <c r="CM7" s="15">
        <v>5</v>
      </c>
      <c r="CO7" s="15"/>
      <c r="CQ7" s="15"/>
    </row>
    <row r="8" spans="1:95" ht="32.1" customHeight="1" x14ac:dyDescent="0.3">
      <c r="A8" s="9"/>
      <c r="B8" s="382" t="s">
        <v>5</v>
      </c>
      <c r="C8" s="382"/>
      <c r="D8" s="383"/>
      <c r="E8" s="383"/>
      <c r="F8" s="382" t="s">
        <v>13</v>
      </c>
      <c r="G8" s="382"/>
      <c r="H8" s="384"/>
      <c r="I8" s="384"/>
      <c r="J8" s="50"/>
      <c r="K8" s="23" t="s">
        <v>16</v>
      </c>
      <c r="L8" s="384"/>
      <c r="M8" s="384"/>
      <c r="N8" s="20"/>
      <c r="O8" s="20"/>
      <c r="P8" s="50"/>
      <c r="Q8" s="387" t="s">
        <v>414</v>
      </c>
      <c r="R8" s="388"/>
      <c r="S8" s="397"/>
      <c r="T8" s="397"/>
      <c r="U8" s="393"/>
      <c r="V8" s="394"/>
      <c r="W8" s="50"/>
      <c r="X8" s="50"/>
      <c r="Y8" s="21" t="s">
        <v>6</v>
      </c>
      <c r="Z8" s="20" t="s">
        <v>7</v>
      </c>
      <c r="AA8" s="21" t="s">
        <v>8</v>
      </c>
      <c r="AB8" s="7"/>
      <c r="AC8" s="52"/>
      <c r="AD8" s="22"/>
      <c r="AE8" s="22" t="s">
        <v>9</v>
      </c>
      <c r="AF8" s="22" t="s">
        <v>10</v>
      </c>
      <c r="AG8" s="22"/>
      <c r="AH8" s="22"/>
      <c r="AI8" s="9"/>
      <c r="AJ8" s="19" t="s">
        <v>11</v>
      </c>
      <c r="AK8" s="19" t="s">
        <v>12</v>
      </c>
      <c r="AL8" s="19" t="s">
        <v>11</v>
      </c>
      <c r="AM8" s="19" t="s">
        <v>12</v>
      </c>
      <c r="AY8" s="15" t="s">
        <v>138</v>
      </c>
      <c r="AZ8" s="15" t="s">
        <v>178</v>
      </c>
      <c r="BA8" s="15"/>
      <c r="BB8" s="15" t="s">
        <v>179</v>
      </c>
      <c r="BC8" s="15"/>
      <c r="BD8" s="15" t="s">
        <v>180</v>
      </c>
      <c r="BV8" s="16" t="s">
        <v>121</v>
      </c>
      <c r="BW8" s="16">
        <v>3</v>
      </c>
      <c r="CL8" s="16">
        <v>6</v>
      </c>
      <c r="CM8" s="16">
        <v>6</v>
      </c>
    </row>
    <row r="9" spans="1:95" ht="32.1" customHeight="1" x14ac:dyDescent="0.3">
      <c r="A9" s="9"/>
      <c r="B9" s="385" t="s">
        <v>928</v>
      </c>
      <c r="C9" s="385"/>
      <c r="D9" s="384"/>
      <c r="E9" s="384"/>
      <c r="F9" s="382" t="s">
        <v>14</v>
      </c>
      <c r="G9" s="382"/>
      <c r="H9" s="384"/>
      <c r="I9" s="384"/>
      <c r="J9" s="51"/>
      <c r="K9" s="23" t="s">
        <v>17</v>
      </c>
      <c r="L9" s="384"/>
      <c r="M9" s="384"/>
      <c r="N9" s="20"/>
      <c r="O9" s="20"/>
      <c r="P9" s="51"/>
      <c r="Q9" s="389"/>
      <c r="R9" s="390"/>
      <c r="S9" s="397"/>
      <c r="T9" s="397"/>
      <c r="U9" s="395"/>
      <c r="V9" s="396"/>
      <c r="W9" s="51"/>
      <c r="X9" s="51"/>
      <c r="Y9" s="24" t="s">
        <v>15</v>
      </c>
      <c r="Z9" s="386"/>
      <c r="AA9" s="386"/>
      <c r="AB9" s="386"/>
      <c r="AC9" s="52"/>
      <c r="AD9" s="22" t="str">
        <f>IF(B29=AL26,"Piloto Supervisor / de Seguridad","Piloto Instructor")</f>
        <v>Piloto Instructor</v>
      </c>
      <c r="AE9" s="1" t="s">
        <v>959</v>
      </c>
      <c r="AF9" s="16" t="str">
        <f>IFERROR(VLOOKUP(AE9,AD32:AF39,3,FALSE),"¿?")</f>
        <v>IVA 2459</v>
      </c>
      <c r="AG9" s="141"/>
      <c r="AH9" s="141"/>
      <c r="AI9" s="9"/>
      <c r="AJ9" s="16">
        <v>35</v>
      </c>
      <c r="AK9" s="16">
        <v>1500</v>
      </c>
      <c r="AL9" s="16">
        <v>35</v>
      </c>
      <c r="AM9" s="16">
        <v>1500</v>
      </c>
      <c r="AY9" s="15" t="s">
        <v>139</v>
      </c>
      <c r="AZ9" s="15">
        <v>1</v>
      </c>
      <c r="BA9" s="15">
        <v>2</v>
      </c>
      <c r="BB9" s="15">
        <v>3</v>
      </c>
      <c r="BC9" s="15">
        <v>4</v>
      </c>
      <c r="BD9" s="15">
        <v>5</v>
      </c>
      <c r="BV9" s="16" t="s">
        <v>124</v>
      </c>
      <c r="BW9" s="16">
        <v>4</v>
      </c>
      <c r="CL9" s="16" t="s">
        <v>116</v>
      </c>
      <c r="CM9" s="16"/>
    </row>
    <row r="10" spans="1:95" ht="32.1" customHeight="1" x14ac:dyDescent="0.3">
      <c r="A10" s="9"/>
      <c r="B10" s="367" t="s">
        <v>19</v>
      </c>
      <c r="C10" s="367"/>
      <c r="D10" s="367"/>
      <c r="E10" s="367"/>
      <c r="F10" s="367"/>
      <c r="G10" s="367"/>
      <c r="H10" s="367"/>
      <c r="I10" s="367"/>
      <c r="J10" s="52"/>
      <c r="K10" s="338" t="s">
        <v>397</v>
      </c>
      <c r="L10" s="338"/>
      <c r="M10" s="338"/>
      <c r="N10" s="25"/>
      <c r="O10" s="25"/>
      <c r="P10" s="52"/>
      <c r="Q10" s="391"/>
      <c r="R10" s="392"/>
      <c r="S10" s="142"/>
      <c r="T10" s="142"/>
      <c r="U10" s="142"/>
      <c r="V10" s="142"/>
      <c r="W10" s="52"/>
      <c r="X10" s="52"/>
      <c r="Y10" s="26" t="s">
        <v>20</v>
      </c>
      <c r="Z10" s="26" t="s">
        <v>21</v>
      </c>
      <c r="AA10" s="26" t="s">
        <v>930</v>
      </c>
      <c r="AB10" s="26" t="s">
        <v>23</v>
      </c>
      <c r="AC10" s="52"/>
      <c r="AD10" s="22" t="str">
        <f>IF(B29=AL26,"Piloto al Mando","Piloto Alumno")</f>
        <v>Piloto Alumno</v>
      </c>
      <c r="AE10" s="1"/>
      <c r="AF10" s="1"/>
      <c r="AG10" s="141"/>
      <c r="AH10" s="141"/>
      <c r="AI10" s="9"/>
      <c r="AJ10" s="16">
        <v>35</v>
      </c>
      <c r="AK10" s="16">
        <v>1950</v>
      </c>
      <c r="AL10" s="16">
        <v>35</v>
      </c>
      <c r="AM10" s="16">
        <v>1950</v>
      </c>
      <c r="AY10" s="14" t="s">
        <v>140</v>
      </c>
      <c r="AZ10" s="14"/>
      <c r="BA10" s="14"/>
      <c r="BB10" s="14"/>
      <c r="BC10" s="14"/>
      <c r="BD10" s="14"/>
      <c r="BF10" s="13" t="s">
        <v>242</v>
      </c>
      <c r="BH10" s="12" t="s">
        <v>252</v>
      </c>
      <c r="BV10" s="16" t="s">
        <v>126</v>
      </c>
      <c r="BW10" s="16">
        <v>2</v>
      </c>
    </row>
    <row r="11" spans="1:95" ht="32.1" customHeight="1" x14ac:dyDescent="0.3">
      <c r="A11" s="9"/>
      <c r="B11" s="344" t="s">
        <v>24</v>
      </c>
      <c r="C11" s="344"/>
      <c r="D11" s="344"/>
      <c r="E11" s="344"/>
      <c r="F11" s="344" t="str">
        <f>IF(B29=AL26,"PILOTO AL MANDO","PILOTO ALUMNO")</f>
        <v>PILOTO ALUMNO</v>
      </c>
      <c r="G11" s="344"/>
      <c r="H11" s="344" t="str">
        <f>IF(B29=AL26,"P. SUPERVISOR / DE SEGURIDAD","PILOTO INSTRUCTOR")</f>
        <v>PILOTO INSTRUCTOR</v>
      </c>
      <c r="I11" s="344"/>
      <c r="J11" s="53"/>
      <c r="K11" s="25" t="s">
        <v>157</v>
      </c>
      <c r="L11" s="22" t="s">
        <v>13</v>
      </c>
      <c r="M11" s="22" t="s">
        <v>14</v>
      </c>
      <c r="N11" s="22"/>
      <c r="O11" s="22"/>
      <c r="P11" s="53"/>
      <c r="Q11" s="22" t="str">
        <f>IF(H8=0,"Origen",H8)</f>
        <v>Origen</v>
      </c>
      <c r="R11" s="22" t="str">
        <f>IF(H9=0,"Destino",H9)</f>
        <v>Destino</v>
      </c>
      <c r="S11" s="22" t="s">
        <v>13</v>
      </c>
      <c r="T11" s="22" t="s">
        <v>14</v>
      </c>
      <c r="U11" s="22"/>
      <c r="V11" s="22"/>
      <c r="W11" s="53"/>
      <c r="X11" s="53"/>
      <c r="Y11" s="27" t="s">
        <v>27</v>
      </c>
      <c r="Z11" s="28" t="e">
        <f>VLOOKUP(AB8,AD27:AH28,4,FALSE)</f>
        <v>#N/A</v>
      </c>
      <c r="AA11" s="29" t="e">
        <f>VLOOKUP(AB8,AD27:AH28,5,FALSE)</f>
        <v>#N/A</v>
      </c>
      <c r="AB11" s="30" t="e">
        <f>Z11*AA11</f>
        <v>#N/A</v>
      </c>
      <c r="AC11" s="143"/>
      <c r="AI11" s="9"/>
      <c r="AJ11" s="16">
        <v>41</v>
      </c>
      <c r="AK11" s="16">
        <v>2550</v>
      </c>
      <c r="AL11" s="16">
        <v>37.5</v>
      </c>
      <c r="AM11" s="16">
        <v>2200</v>
      </c>
      <c r="AY11" s="22" t="s">
        <v>44</v>
      </c>
      <c r="AZ11" s="22"/>
      <c r="BA11" s="22"/>
      <c r="BB11" s="22"/>
      <c r="BC11" s="22"/>
      <c r="BD11" s="22"/>
      <c r="BF11" s="13" t="s">
        <v>243</v>
      </c>
      <c r="BH11" s="12" t="s">
        <v>256</v>
      </c>
      <c r="BV11" s="296" t="s">
        <v>876</v>
      </c>
      <c r="BW11" s="16">
        <v>6</v>
      </c>
    </row>
    <row r="12" spans="1:95" ht="32.1" customHeight="1" x14ac:dyDescent="0.3">
      <c r="A12" s="9"/>
      <c r="B12" s="31" t="str">
        <f>IF(Y24=4,AL26,AL27)</f>
        <v>✕</v>
      </c>
      <c r="C12" s="40" t="s">
        <v>30</v>
      </c>
      <c r="D12" s="2"/>
      <c r="E12" s="40" t="s">
        <v>31</v>
      </c>
      <c r="F12" s="2"/>
      <c r="G12" s="40" t="s">
        <v>32</v>
      </c>
      <c r="H12" s="2"/>
      <c r="I12" s="40" t="s">
        <v>32</v>
      </c>
      <c r="J12" s="54"/>
      <c r="K12" s="40" t="s">
        <v>257</v>
      </c>
      <c r="L12" s="16" t="str">
        <f>IFERROR(VLOOKUP(H8,AR33:AT65,2,FALSE),"¿?")</f>
        <v>¿?</v>
      </c>
      <c r="M12" s="16" t="str">
        <f>IFERROR(VLOOKUP(H9,AR33:AT65,2,FALSE),"¿?")</f>
        <v>¿?</v>
      </c>
      <c r="N12" s="106" t="str">
        <f>IFERROR(VLOOKUP(L12,BF3:BG4,2,FALSE),"0")</f>
        <v>0</v>
      </c>
      <c r="O12" s="106" t="str">
        <f>IFERROR(VLOOKUP(M12,BF3:BG4,2,FALSE),"0")</f>
        <v>0</v>
      </c>
      <c r="P12" s="54"/>
      <c r="Q12" s="106" t="s">
        <v>406</v>
      </c>
      <c r="R12" s="106" t="s">
        <v>406</v>
      </c>
      <c r="S12" s="145" t="e">
        <f>VLOOKUP($H$8,PREVAC!$Q$2:$X$38,2,FALSE)</f>
        <v>#N/A</v>
      </c>
      <c r="T12" s="145" t="e">
        <f>VLOOKUP($H$9,PREVAC!$Q$2:$X$38,2,FALSE)</f>
        <v>#N/A</v>
      </c>
      <c r="U12" s="145" t="e">
        <f>VLOOKUP(S12,PREVAC!$I$3:$J$27,2,FALSE)</f>
        <v>#N/A</v>
      </c>
      <c r="V12" s="145" t="e">
        <f>VLOOKUP(T12,PREVAC!$I$3:$J$27,2,FALSE)</f>
        <v>#N/A</v>
      </c>
      <c r="W12" s="54"/>
      <c r="X12" s="54"/>
      <c r="Y12" s="27" t="str">
        <f>IF(B29=AL26,"Piloto de Seguridad","Piloto Instructor")</f>
        <v>Piloto Instructor</v>
      </c>
      <c r="Z12" s="30">
        <f>AF13</f>
        <v>0</v>
      </c>
      <c r="AA12" s="34">
        <v>37</v>
      </c>
      <c r="AB12" s="30">
        <f t="shared" ref="AB12:AB17" si="0">(Z12*AA12)</f>
        <v>0</v>
      </c>
      <c r="AC12" s="143"/>
      <c r="AD12" s="146"/>
      <c r="AE12" s="22" t="s">
        <v>28</v>
      </c>
      <c r="AF12" s="22" t="s">
        <v>21</v>
      </c>
      <c r="AG12" s="22" t="s">
        <v>21</v>
      </c>
      <c r="AH12" s="304" t="s">
        <v>29</v>
      </c>
      <c r="AI12" s="9"/>
      <c r="AJ12" s="16">
        <v>47.3</v>
      </c>
      <c r="AK12" s="16">
        <v>2550</v>
      </c>
      <c r="AL12" s="16">
        <v>40.5</v>
      </c>
      <c r="AM12" s="16">
        <v>2200</v>
      </c>
      <c r="AY12" s="15" t="s">
        <v>141</v>
      </c>
      <c r="AZ12" s="15" t="s">
        <v>181</v>
      </c>
      <c r="BA12" s="15"/>
      <c r="BB12" s="15"/>
      <c r="BC12" s="15"/>
      <c r="BD12" s="15" t="s">
        <v>182</v>
      </c>
      <c r="BF12" s="13" t="s">
        <v>244</v>
      </c>
      <c r="BH12" s="12">
        <v>60</v>
      </c>
      <c r="BV12" s="296" t="s">
        <v>878</v>
      </c>
      <c r="BW12" s="16">
        <v>6</v>
      </c>
    </row>
    <row r="13" spans="1:95" ht="32.1" customHeight="1" x14ac:dyDescent="0.3">
      <c r="A13" s="9"/>
      <c r="B13" s="2"/>
      <c r="C13" s="40" t="s">
        <v>33</v>
      </c>
      <c r="D13" s="2"/>
      <c r="E13" s="40" t="s">
        <v>34</v>
      </c>
      <c r="F13" s="2"/>
      <c r="G13" s="40" t="s">
        <v>35</v>
      </c>
      <c r="H13" s="2"/>
      <c r="I13" s="40" t="s">
        <v>35</v>
      </c>
      <c r="J13" s="54"/>
      <c r="K13" s="40" t="s">
        <v>163</v>
      </c>
      <c r="L13" s="16" t="str">
        <f>IFERROR(VLOOKUP(H8,AR33:AT65,3,FALSE),"¿?")</f>
        <v>¿?</v>
      </c>
      <c r="M13" s="16" t="str">
        <f>IFERROR(VLOOKUP(H9,AR33:AT65,3,FALSE),"¿?")</f>
        <v>¿?</v>
      </c>
      <c r="N13" s="106" t="str">
        <f>IFERROR(VLOOKUP(L13,BH3:BI6,2,FALSE),"0")</f>
        <v>0</v>
      </c>
      <c r="O13" s="106" t="str">
        <f>IFERROR(VLOOKUP(M13,BH3:BI6,2,FALSE),"0")</f>
        <v>0</v>
      </c>
      <c r="P13" s="54"/>
      <c r="Q13" s="106" t="s">
        <v>407</v>
      </c>
      <c r="R13" s="106" t="s">
        <v>407</v>
      </c>
      <c r="S13" s="145" t="e">
        <f>VLOOKUP($H$8,PREVAC!$Q$2:$X$38,3,FALSE)</f>
        <v>#N/A</v>
      </c>
      <c r="T13" s="145" t="e">
        <f>VLOOKUP($H$9,PREVAC!$Q$2:$X$38,3,FALSE)</f>
        <v>#N/A</v>
      </c>
      <c r="U13" s="145" t="e">
        <f>VLOOKUP(S13,PREVAC!$I$3:$J$27,2,FALSE)</f>
        <v>#N/A</v>
      </c>
      <c r="V13" s="145" t="e">
        <f>VLOOKUP(T13,PREVAC!$I$3:$J$27,2,FALSE)</f>
        <v>#N/A</v>
      </c>
      <c r="W13" s="54"/>
      <c r="X13" s="54"/>
      <c r="Y13" s="27" t="str">
        <f>IF(B29=AL26,"Piloto","Alumno")</f>
        <v>Alumno</v>
      </c>
      <c r="Z13" s="30">
        <f>AF14</f>
        <v>0</v>
      </c>
      <c r="AA13" s="34">
        <v>37</v>
      </c>
      <c r="AB13" s="30">
        <f t="shared" si="0"/>
        <v>0</v>
      </c>
      <c r="AC13" s="143"/>
      <c r="AD13" s="27" t="str">
        <f>IF(B29=AL26,"Piloto de Seguridad","Piloto Instructor")</f>
        <v>Piloto Instructor</v>
      </c>
      <c r="AE13" s="1"/>
      <c r="AF13" s="147">
        <f t="shared" ref="AF13:AF18" si="1">(AE13*2.20462)</f>
        <v>0</v>
      </c>
      <c r="AG13" s="457">
        <f>SUM(AF13:AF14)</f>
        <v>0</v>
      </c>
      <c r="AH13" s="482">
        <f>SUM(AG13:AG18)</f>
        <v>0</v>
      </c>
      <c r="AI13" s="9"/>
      <c r="AJ13" s="16">
        <v>47.3</v>
      </c>
      <c r="AK13" s="16">
        <v>1500</v>
      </c>
      <c r="AL13" s="16">
        <v>40.5</v>
      </c>
      <c r="AM13" s="16">
        <v>1500</v>
      </c>
      <c r="AO13" s="16" t="s">
        <v>395</v>
      </c>
      <c r="AY13" s="15" t="s">
        <v>142</v>
      </c>
      <c r="AZ13" s="15" t="s">
        <v>183</v>
      </c>
      <c r="BA13" s="15" t="s">
        <v>184</v>
      </c>
      <c r="BB13" s="17" t="s">
        <v>185</v>
      </c>
      <c r="BC13" s="15" t="s">
        <v>186</v>
      </c>
      <c r="BD13" s="15"/>
      <c r="BF13" s="13" t="s">
        <v>264</v>
      </c>
      <c r="BV13" s="296" t="s">
        <v>880</v>
      </c>
      <c r="BW13" s="16">
        <v>6</v>
      </c>
    </row>
    <row r="14" spans="1:95" ht="32.1" customHeight="1" x14ac:dyDescent="0.3">
      <c r="A14" s="9"/>
      <c r="B14" s="2"/>
      <c r="C14" s="40" t="s">
        <v>36</v>
      </c>
      <c r="D14" s="2"/>
      <c r="E14" s="40" t="s">
        <v>703</v>
      </c>
      <c r="F14" s="2"/>
      <c r="G14" s="40" t="s">
        <v>37</v>
      </c>
      <c r="H14" s="31" t="str">
        <f>IF(AND(H11="PILOTO INSTRUCTOR",AE9=AD32),AG32,IF(AND(H11="PILOTO INSTRUCTOR",AE9=AD33),AG33,IF(AND(H11="PILOTO INSTRUCTOR",AE9=AD34),AG34,IF(AND(H11="PILOTO INSTRUCTOR",AE9=AD35),AG35,IF(AND(H11="PILOTO INSTRUCTOR",AE9=AD36),AG36,IF(AND(H11="PILOTO INSTRUCTOR",AE9=AD37),AG37,IF(AND(H11="PILOTO INSTRUCTOR",AE9=AD38),AG38,"N/A")))))))</f>
        <v>N/A</v>
      </c>
      <c r="I14" s="40" t="s">
        <v>37</v>
      </c>
      <c r="J14" s="54"/>
      <c r="K14" s="40" t="s">
        <v>164</v>
      </c>
      <c r="L14" s="1"/>
      <c r="M14" s="1"/>
      <c r="N14" s="106" t="str">
        <f>IFERROR(VLOOKUP(L14,BJ3:BK5,2,FALSE),"0")</f>
        <v>0</v>
      </c>
      <c r="O14" s="106" t="str">
        <f>IFERROR(VLOOKUP(M14,BJ3:BK5,2,FALSE),"0")</f>
        <v>0</v>
      </c>
      <c r="P14" s="54"/>
      <c r="Q14" s="106" t="s">
        <v>408</v>
      </c>
      <c r="R14" s="106" t="s">
        <v>408</v>
      </c>
      <c r="S14" s="145" t="e">
        <f>VLOOKUP($H$8,PREVAC!$Q$2:$X$38,4,FALSE)</f>
        <v>#N/A</v>
      </c>
      <c r="T14" s="145" t="e">
        <f>VLOOKUP($H$9,PREVAC!$Q$2:$X$38,4,FALSE)</f>
        <v>#N/A</v>
      </c>
      <c r="U14" s="145" t="e">
        <f>VLOOKUP(S14,PREVAC!$I$3:$J$27,2,FALSE)</f>
        <v>#N/A</v>
      </c>
      <c r="V14" s="145" t="e">
        <f>VLOOKUP(T14,PREVAC!$I$3:$J$27,2,FALSE)</f>
        <v>#N/A</v>
      </c>
      <c r="W14" s="54"/>
      <c r="X14" s="54"/>
      <c r="Y14" s="27" t="s">
        <v>941</v>
      </c>
      <c r="Z14" s="30">
        <f>AF15+AF16</f>
        <v>0</v>
      </c>
      <c r="AA14" s="34">
        <v>73</v>
      </c>
      <c r="AB14" s="30">
        <f t="shared" si="0"/>
        <v>0</v>
      </c>
      <c r="AC14" s="143"/>
      <c r="AD14" s="149" t="s">
        <v>18</v>
      </c>
      <c r="AE14" s="3"/>
      <c r="AF14" s="148">
        <f t="shared" si="1"/>
        <v>0</v>
      </c>
      <c r="AG14" s="458"/>
      <c r="AH14" s="483"/>
      <c r="AI14" s="9"/>
      <c r="AY14" s="15" t="s">
        <v>143</v>
      </c>
      <c r="AZ14" s="15" t="s">
        <v>187</v>
      </c>
      <c r="BA14" s="15"/>
      <c r="BB14" s="17" t="s">
        <v>188</v>
      </c>
      <c r="BC14" s="15"/>
      <c r="BD14" s="15" t="s">
        <v>189</v>
      </c>
      <c r="BV14" s="296" t="s">
        <v>881</v>
      </c>
      <c r="BW14" s="16">
        <v>6</v>
      </c>
    </row>
    <row r="15" spans="1:95" ht="32.1" customHeight="1" x14ac:dyDescent="0.3">
      <c r="A15" s="9"/>
      <c r="B15" s="367" t="s">
        <v>161</v>
      </c>
      <c r="C15" s="367"/>
      <c r="D15" s="367"/>
      <c r="E15" s="367"/>
      <c r="F15" s="367"/>
      <c r="G15" s="367"/>
      <c r="H15" s="367"/>
      <c r="I15" s="367"/>
      <c r="J15" s="52"/>
      <c r="K15" s="398" t="s">
        <v>158</v>
      </c>
      <c r="L15" s="399"/>
      <c r="M15" s="400"/>
      <c r="N15" s="25"/>
      <c r="O15" s="25"/>
      <c r="P15" s="52"/>
      <c r="Q15" s="106" t="s">
        <v>409</v>
      </c>
      <c r="R15" s="106" t="s">
        <v>409</v>
      </c>
      <c r="S15" s="145" t="e">
        <f>VLOOKUP($H$8,PREVAC!$Q$2:$X$38,5,FALSE)</f>
        <v>#N/A</v>
      </c>
      <c r="T15" s="145" t="e">
        <f>VLOOKUP($H$9,PREVAC!$Q$2:$X$38,5,FALSE)</f>
        <v>#N/A</v>
      </c>
      <c r="U15" s="145" t="e">
        <f>VLOOKUP(S15,PREVAC!$I$3:$J$27,2,FALSE)</f>
        <v>#N/A</v>
      </c>
      <c r="V15" s="145" t="e">
        <f>VLOOKUP(T15,PREVAC!$I$3:$J$27,2,FALSE)</f>
        <v>#N/A</v>
      </c>
      <c r="W15" s="52"/>
      <c r="X15" s="52"/>
      <c r="Y15" s="27" t="s">
        <v>40</v>
      </c>
      <c r="Z15" s="30">
        <f>AG21</f>
        <v>0</v>
      </c>
      <c r="AA15" s="34">
        <v>48</v>
      </c>
      <c r="AB15" s="30">
        <f t="shared" si="0"/>
        <v>0</v>
      </c>
      <c r="AC15" s="143"/>
      <c r="AD15" s="27" t="s">
        <v>38</v>
      </c>
      <c r="AE15" s="1"/>
      <c r="AF15" s="147">
        <f t="shared" si="1"/>
        <v>0</v>
      </c>
      <c r="AG15" s="457">
        <f>SUM(AF15:AF16)</f>
        <v>0</v>
      </c>
      <c r="AH15" s="483"/>
      <c r="AI15" s="9"/>
      <c r="AJ15" s="107" t="s">
        <v>39</v>
      </c>
      <c r="AK15" s="108"/>
      <c r="AL15" s="104"/>
      <c r="AM15" s="107" t="s">
        <v>39</v>
      </c>
      <c r="AN15" s="108"/>
      <c r="AO15" s="16">
        <f>COUNTIF(AM17:AN18,"SI")</f>
        <v>0</v>
      </c>
      <c r="AY15" s="22" t="s">
        <v>144</v>
      </c>
      <c r="AZ15" s="22"/>
      <c r="BA15" s="22"/>
      <c r="BB15" s="22"/>
      <c r="BC15" s="22"/>
      <c r="BD15" s="22"/>
      <c r="BF15" s="13" t="s">
        <v>263</v>
      </c>
      <c r="BV15" s="296" t="s">
        <v>882</v>
      </c>
      <c r="BW15" s="16">
        <v>6</v>
      </c>
    </row>
    <row r="16" spans="1:95" ht="32.1" customHeight="1" x14ac:dyDescent="0.3">
      <c r="A16" s="9"/>
      <c r="B16" s="382" t="s">
        <v>44</v>
      </c>
      <c r="C16" s="382"/>
      <c r="D16" s="344" t="s">
        <v>45</v>
      </c>
      <c r="E16" s="344"/>
      <c r="F16" s="344" t="s">
        <v>46</v>
      </c>
      <c r="G16" s="344"/>
      <c r="H16" s="344" t="s">
        <v>47</v>
      </c>
      <c r="I16" s="344"/>
      <c r="J16" s="53"/>
      <c r="K16" s="40" t="s">
        <v>258</v>
      </c>
      <c r="L16" s="340"/>
      <c r="M16" s="341"/>
      <c r="N16" s="408" t="str">
        <f>IFERROR(VLOOKUP(L16,BL3:BM5,2,FALSE),"0")</f>
        <v>0</v>
      </c>
      <c r="O16" s="408"/>
      <c r="P16" s="53"/>
      <c r="Q16" s="106" t="s">
        <v>410</v>
      </c>
      <c r="R16" s="106" t="s">
        <v>410</v>
      </c>
      <c r="S16" s="145" t="e">
        <f>VLOOKUP($H$8,PREVAC!$Q$2:$X$38,6,FALSE)</f>
        <v>#N/A</v>
      </c>
      <c r="T16" s="145" t="e">
        <f>VLOOKUP($H$9,PREVAC!$Q$2:$X$38,6,FALSE)</f>
        <v>#N/A</v>
      </c>
      <c r="U16" s="145" t="e">
        <f>VLOOKUP(S16,PREVAC!$I$3:$J$27,2,FALSE)</f>
        <v>#N/A</v>
      </c>
      <c r="V16" s="145" t="e">
        <f>VLOOKUP(T16,PREVAC!$I$3:$J$27,2,FALSE)</f>
        <v>#N/A</v>
      </c>
      <c r="W16" s="53"/>
      <c r="X16" s="53"/>
      <c r="Y16" s="27" t="s">
        <v>48</v>
      </c>
      <c r="Z16" s="30">
        <f>AF17</f>
        <v>0</v>
      </c>
      <c r="AA16" s="34">
        <v>95</v>
      </c>
      <c r="AB16" s="30">
        <f t="shared" si="0"/>
        <v>0</v>
      </c>
      <c r="AC16" s="143"/>
      <c r="AD16" s="151" t="s">
        <v>41</v>
      </c>
      <c r="AE16" s="4"/>
      <c r="AF16" s="150">
        <f t="shared" si="1"/>
        <v>0</v>
      </c>
      <c r="AG16" s="458"/>
      <c r="AH16" s="483"/>
      <c r="AI16" s="9"/>
      <c r="AJ16" s="146" t="s">
        <v>42</v>
      </c>
      <c r="AK16" s="146" t="s">
        <v>43</v>
      </c>
      <c r="AL16" s="104"/>
      <c r="AM16" s="146" t="s">
        <v>42</v>
      </c>
      <c r="AN16" s="152" t="s">
        <v>43</v>
      </c>
      <c r="AY16" s="15" t="s">
        <v>145</v>
      </c>
      <c r="AZ16" s="15" t="s">
        <v>183</v>
      </c>
      <c r="BA16" s="15" t="s">
        <v>184</v>
      </c>
      <c r="BB16" s="17" t="s">
        <v>185</v>
      </c>
      <c r="BC16" s="15" t="s">
        <v>186</v>
      </c>
      <c r="BD16" s="15"/>
      <c r="BF16" s="13" t="s">
        <v>261</v>
      </c>
      <c r="BV16" s="296" t="s">
        <v>883</v>
      </c>
      <c r="BW16" s="16">
        <v>6</v>
      </c>
      <c r="BZ16" s="116" t="s">
        <v>877</v>
      </c>
      <c r="CA16" s="116"/>
    </row>
    <row r="17" spans="1:79" ht="32.1" customHeight="1" x14ac:dyDescent="0.3">
      <c r="A17" s="9"/>
      <c r="B17" s="2"/>
      <c r="C17" s="40" t="s">
        <v>50</v>
      </c>
      <c r="D17" s="2"/>
      <c r="E17" s="40" t="s">
        <v>50</v>
      </c>
      <c r="F17" s="2"/>
      <c r="G17" s="40" t="s">
        <v>50</v>
      </c>
      <c r="H17" s="2"/>
      <c r="I17" s="40" t="s">
        <v>51</v>
      </c>
      <c r="J17" s="54"/>
      <c r="K17" s="40" t="s">
        <v>165</v>
      </c>
      <c r="L17" s="340"/>
      <c r="M17" s="341"/>
      <c r="N17" s="408" t="str">
        <f>IFERROR(VLOOKUP(L17,BN3:BO6,2,FALSE),"0")</f>
        <v>0</v>
      </c>
      <c r="O17" s="408"/>
      <c r="P17" s="54"/>
      <c r="Q17" s="106" t="s">
        <v>412</v>
      </c>
      <c r="R17" s="106" t="s">
        <v>412</v>
      </c>
      <c r="S17" s="145" t="e">
        <f>VLOOKUP($H$8,PREVAC!$Q$2:$X$38,7,FALSE)</f>
        <v>#N/A</v>
      </c>
      <c r="T17" s="145" t="e">
        <f>VLOOKUP($H$9,PREVAC!$Q$2:$X$38,7,FALSE)</f>
        <v>#N/A</v>
      </c>
      <c r="U17" s="145" t="e">
        <f>VLOOKUP(S17,PREVAC!$I$3:$J$27,2,FALSE)</f>
        <v>#N/A</v>
      </c>
      <c r="V17" s="145" t="e">
        <f>VLOOKUP(T17,PREVAC!$I$3:$J$27,2,FALSE)</f>
        <v>#N/A</v>
      </c>
      <c r="W17" s="54"/>
      <c r="X17" s="54"/>
      <c r="Y17" s="27" t="s">
        <v>52</v>
      </c>
      <c r="Z17" s="28">
        <f>AF18</f>
        <v>0</v>
      </c>
      <c r="AA17" s="34">
        <v>123</v>
      </c>
      <c r="AB17" s="30">
        <f t="shared" si="0"/>
        <v>0</v>
      </c>
      <c r="AC17" s="143"/>
      <c r="AD17" s="27" t="s">
        <v>48</v>
      </c>
      <c r="AE17" s="1"/>
      <c r="AF17" s="147">
        <f t="shared" si="1"/>
        <v>0</v>
      </c>
      <c r="AG17" s="457">
        <f>SUM(AF17:AF18)</f>
        <v>0</v>
      </c>
      <c r="AH17" s="483"/>
      <c r="AI17" s="153"/>
      <c r="AJ17" s="154" t="e">
        <f>Z22</f>
        <v>#N/A</v>
      </c>
      <c r="AK17" s="154" t="e">
        <f>Z18</f>
        <v>#N/A</v>
      </c>
      <c r="AL17" s="146" t="s">
        <v>49</v>
      </c>
      <c r="AM17" s="105" t="e">
        <f>IF(AJ17&lt;47.3,"SI","NO")</f>
        <v>#N/A</v>
      </c>
      <c r="AN17" s="16" t="e">
        <f>IF(AK17&lt;2550,"SI","NO")</f>
        <v>#N/A</v>
      </c>
      <c r="AO17" s="146" t="s">
        <v>49</v>
      </c>
      <c r="AY17" s="15" t="s">
        <v>146</v>
      </c>
      <c r="AZ17" s="15" t="s">
        <v>190</v>
      </c>
      <c r="BA17" s="15" t="s">
        <v>191</v>
      </c>
      <c r="BB17" s="15" t="s">
        <v>192</v>
      </c>
      <c r="BC17" s="15" t="s">
        <v>193</v>
      </c>
      <c r="BD17" s="15" t="s">
        <v>194</v>
      </c>
      <c r="BF17" s="13" t="s">
        <v>262</v>
      </c>
      <c r="BV17" s="296" t="s">
        <v>884</v>
      </c>
      <c r="BW17" s="16">
        <v>5</v>
      </c>
      <c r="BZ17" s="116" t="s">
        <v>879</v>
      </c>
      <c r="CA17" s="116"/>
    </row>
    <row r="18" spans="1:79" ht="32.1" customHeight="1" x14ac:dyDescent="0.3">
      <c r="A18" s="9"/>
      <c r="B18" s="2"/>
      <c r="C18" s="40" t="s">
        <v>54</v>
      </c>
      <c r="D18" s="2"/>
      <c r="E18" s="40" t="s">
        <v>54</v>
      </c>
      <c r="F18" s="2"/>
      <c r="G18" s="40" t="s">
        <v>54</v>
      </c>
      <c r="H18" s="2"/>
      <c r="I18" s="40" t="s">
        <v>55</v>
      </c>
      <c r="J18" s="54"/>
      <c r="K18" s="40" t="s">
        <v>294</v>
      </c>
      <c r="L18" s="340"/>
      <c r="M18" s="341"/>
      <c r="N18" s="408" t="str">
        <f>IFERROR(VLOOKUP(L18,BP3:BQ7,2,FALSE),"0")</f>
        <v>0</v>
      </c>
      <c r="O18" s="408"/>
      <c r="P18" s="54"/>
      <c r="Q18" s="106" t="s">
        <v>411</v>
      </c>
      <c r="R18" s="106" t="s">
        <v>411</v>
      </c>
      <c r="S18" s="145" t="e">
        <f>VLOOKUP($H$8,PREVAC!$Q$2:$X$38,8,FALSE)</f>
        <v>#N/A</v>
      </c>
      <c r="T18" s="145" t="e">
        <f>VLOOKUP($H$9,PREVAC!$Q$2:$X$38,8,FALSE)</f>
        <v>#N/A</v>
      </c>
      <c r="U18" s="145" t="e">
        <f>VLOOKUP(S18,PREVAC!$I$3:$J$27,2,FALSE)</f>
        <v>#N/A</v>
      </c>
      <c r="V18" s="145" t="e">
        <f>VLOOKUP(T18,PREVAC!$I$3:$J$27,2,FALSE)</f>
        <v>#N/A</v>
      </c>
      <c r="W18" s="54"/>
      <c r="X18" s="54"/>
      <c r="Y18" s="35" t="s">
        <v>56</v>
      </c>
      <c r="Z18" s="36" t="e">
        <f>SUM(Z11:Z17)</f>
        <v>#N/A</v>
      </c>
      <c r="AA18" s="37"/>
      <c r="AB18" s="30" t="e">
        <f>SUM(AB11:AB17)</f>
        <v>#N/A</v>
      </c>
      <c r="AC18" s="143"/>
      <c r="AD18" s="27" t="s">
        <v>52</v>
      </c>
      <c r="AE18" s="1"/>
      <c r="AF18" s="147">
        <f t="shared" si="1"/>
        <v>0</v>
      </c>
      <c r="AG18" s="458"/>
      <c r="AH18" s="484"/>
      <c r="AI18" s="155"/>
      <c r="AJ18" s="154" t="e">
        <f>AB22</f>
        <v>#N/A</v>
      </c>
      <c r="AK18" s="154" t="e">
        <f>Z20</f>
        <v>#N/A</v>
      </c>
      <c r="AL18" s="146" t="s">
        <v>53</v>
      </c>
      <c r="AM18" s="105" t="e">
        <f>IF(AJ18&lt;47.3,"SI","NO")</f>
        <v>#N/A</v>
      </c>
      <c r="AN18" s="16" t="e">
        <f>IF(AK18&lt;2550,"SI","NO")</f>
        <v>#N/A</v>
      </c>
      <c r="AO18" s="146" t="s">
        <v>53</v>
      </c>
      <c r="AY18" s="15" t="s">
        <v>147</v>
      </c>
      <c r="AZ18" s="15" t="s">
        <v>195</v>
      </c>
      <c r="BA18" s="15"/>
      <c r="BB18" s="15" t="s">
        <v>196</v>
      </c>
      <c r="BC18" s="15"/>
      <c r="BD18" s="17" t="s">
        <v>197</v>
      </c>
      <c r="BF18" s="13" t="s">
        <v>265</v>
      </c>
      <c r="BV18" s="296" t="s">
        <v>929</v>
      </c>
      <c r="BW18" s="16">
        <v>20</v>
      </c>
      <c r="BZ18" s="116" t="s">
        <v>887</v>
      </c>
      <c r="CA18" s="116"/>
    </row>
    <row r="19" spans="1:79" ht="32.1" customHeight="1" x14ac:dyDescent="0.3">
      <c r="A19" s="9"/>
      <c r="B19" s="2"/>
      <c r="C19" s="40" t="str">
        <f>IF(D9="PS","NOTAM Impresos","NOTAM")</f>
        <v>NOTAM</v>
      </c>
      <c r="D19" s="2"/>
      <c r="E19" s="40" t="str">
        <f>IF(D9="PS","NOTAM Impresos","NOTAM")</f>
        <v>NOTAM</v>
      </c>
      <c r="F19" s="2"/>
      <c r="G19" s="40" t="str">
        <f>IF(D9="PS","NOTAM Impresos","NOTAM")</f>
        <v>NOTAM</v>
      </c>
      <c r="H19" s="2"/>
      <c r="I19" s="156" t="s">
        <v>62</v>
      </c>
      <c r="J19" s="55"/>
      <c r="K19" s="40" t="s">
        <v>223</v>
      </c>
      <c r="L19" s="342" t="str">
        <f>IF(AE20&lt;=AW33,AX33,IF(AE20&lt;=AW34,AX34,IF(AE20&lt;=AW35,AX35,IF(AE20&lt;=AW36,AX36,IF(AE20&lt;=AW37,AX37,IF(AE20&gt;AW38,AX38,"¿?"))))))</f>
        <v>¿?</v>
      </c>
      <c r="M19" s="343"/>
      <c r="N19" s="408" t="str">
        <f>IFERROR(VLOOKUP(L19,BR3:BS7,2,FALSE),"0")</f>
        <v>0</v>
      </c>
      <c r="O19" s="408"/>
      <c r="P19" s="55"/>
      <c r="Q19" s="311" t="s">
        <v>493</v>
      </c>
      <c r="R19" s="311" t="s">
        <v>493</v>
      </c>
      <c r="S19" s="311"/>
      <c r="T19" s="311"/>
      <c r="U19" s="369" t="e">
        <f>SUM(U12:U18)</f>
        <v>#N/A</v>
      </c>
      <c r="V19" s="369" t="e">
        <f>SUM(V12:V18)</f>
        <v>#N/A</v>
      </c>
      <c r="W19" s="55"/>
      <c r="X19" s="55"/>
      <c r="Y19" s="27" t="s">
        <v>63</v>
      </c>
      <c r="Z19" s="30">
        <f>AG20</f>
        <v>0</v>
      </c>
      <c r="AA19" s="34">
        <v>48</v>
      </c>
      <c r="AB19" s="30">
        <f>(Z19*AA19)</f>
        <v>0</v>
      </c>
      <c r="AC19" s="143"/>
      <c r="AD19" s="35"/>
      <c r="AE19" s="35" t="s">
        <v>57</v>
      </c>
      <c r="AF19" s="22" t="s">
        <v>58</v>
      </c>
      <c r="AG19" s="22" t="s">
        <v>59</v>
      </c>
      <c r="AH19" s="22" t="s">
        <v>60</v>
      </c>
      <c r="AI19" s="155"/>
      <c r="AY19" s="15" t="s">
        <v>148</v>
      </c>
      <c r="AZ19" s="15" t="s">
        <v>198</v>
      </c>
      <c r="BA19" s="15"/>
      <c r="BB19" s="15" t="s">
        <v>199</v>
      </c>
      <c r="BC19" s="15"/>
      <c r="BD19" s="15" t="s">
        <v>200</v>
      </c>
      <c r="BV19" s="297" t="s">
        <v>885</v>
      </c>
      <c r="BW19" s="16">
        <v>3</v>
      </c>
      <c r="BZ19" s="116" t="s">
        <v>903</v>
      </c>
      <c r="CA19" s="116"/>
    </row>
    <row r="20" spans="1:79" ht="32.1" customHeight="1" x14ac:dyDescent="0.3">
      <c r="A20" s="9"/>
      <c r="B20" s="2"/>
      <c r="C20" s="40" t="s">
        <v>66</v>
      </c>
      <c r="D20" s="2"/>
      <c r="E20" s="40" t="s">
        <v>66</v>
      </c>
      <c r="F20" s="2"/>
      <c r="G20" s="40" t="s">
        <v>66</v>
      </c>
      <c r="H20" s="2"/>
      <c r="I20" s="40" t="s">
        <v>66</v>
      </c>
      <c r="J20" s="54"/>
      <c r="K20" s="40" t="s">
        <v>932</v>
      </c>
      <c r="L20" s="340"/>
      <c r="M20" s="341"/>
      <c r="N20" s="408" t="str">
        <f>IFERROR(VLOOKUP(L20,BT3:BU4,2,FALSE),"0")</f>
        <v>0</v>
      </c>
      <c r="O20" s="408"/>
      <c r="P20" s="54"/>
      <c r="Q20" s="407"/>
      <c r="R20" s="407"/>
      <c r="S20" s="407"/>
      <c r="T20" s="407"/>
      <c r="U20" s="370"/>
      <c r="V20" s="370"/>
      <c r="W20" s="54"/>
      <c r="X20" s="54"/>
      <c r="Y20" s="35" t="s">
        <v>67</v>
      </c>
      <c r="Z20" s="36" t="e">
        <f>+Z18-Z19</f>
        <v>#N/A</v>
      </c>
      <c r="AA20" s="37"/>
      <c r="AB20" s="30" t="e">
        <f>+AB18-AB19</f>
        <v>#N/A</v>
      </c>
      <c r="AC20" s="143"/>
      <c r="AD20" s="157" t="s">
        <v>64</v>
      </c>
      <c r="AE20" s="1"/>
      <c r="AF20" s="158">
        <f>AE20*(8/60)</f>
        <v>0</v>
      </c>
      <c r="AG20" s="147">
        <f>AF20*6</f>
        <v>0</v>
      </c>
      <c r="AH20" s="147">
        <f>AG20/2.02</f>
        <v>0</v>
      </c>
      <c r="AI20" s="155"/>
      <c r="AJ20" s="313" t="s">
        <v>872</v>
      </c>
      <c r="AK20" s="314"/>
      <c r="AL20" s="314"/>
      <c r="AM20" s="315"/>
      <c r="AO20" s="313" t="s">
        <v>65</v>
      </c>
      <c r="AP20" s="314"/>
      <c r="AQ20" s="314"/>
      <c r="AR20" s="315"/>
      <c r="AY20" s="22" t="s">
        <v>45</v>
      </c>
      <c r="AZ20" s="22"/>
      <c r="BA20" s="22"/>
      <c r="BB20" s="22"/>
      <c r="BC20" s="22"/>
      <c r="BD20" s="22"/>
      <c r="BV20" s="297" t="s">
        <v>886</v>
      </c>
      <c r="BW20" s="16">
        <v>15</v>
      </c>
      <c r="BZ20" s="116" t="s">
        <v>911</v>
      </c>
      <c r="CA20" s="116"/>
    </row>
    <row r="21" spans="1:79" ht="32.1" customHeight="1" x14ac:dyDescent="0.3">
      <c r="A21" s="9"/>
      <c r="B21" s="367" t="s">
        <v>69</v>
      </c>
      <c r="C21" s="367"/>
      <c r="D21" s="367"/>
      <c r="E21" s="367"/>
      <c r="F21" s="367" t="s">
        <v>70</v>
      </c>
      <c r="G21" s="367"/>
      <c r="H21" s="367"/>
      <c r="I21" s="367"/>
      <c r="J21" s="52"/>
      <c r="K21" s="398" t="s">
        <v>150</v>
      </c>
      <c r="L21" s="399"/>
      <c r="M21" s="400"/>
      <c r="N21" s="25"/>
      <c r="O21" s="25"/>
      <c r="P21" s="52"/>
      <c r="Q21" s="22" t="str">
        <f>IF(L8=0,"Alterno 1",L8)</f>
        <v>Alterno 1</v>
      </c>
      <c r="R21" s="22" t="str">
        <f>IF(L9=0,"Alterno 2",L9)</f>
        <v>Alterno 2</v>
      </c>
      <c r="S21" s="22" t="s">
        <v>16</v>
      </c>
      <c r="T21" s="22" t="s">
        <v>17</v>
      </c>
      <c r="U21" s="22"/>
      <c r="V21" s="22"/>
      <c r="W21" s="52"/>
      <c r="X21" s="52"/>
      <c r="Y21" s="338" t="s">
        <v>71</v>
      </c>
      <c r="Z21" s="338"/>
      <c r="AA21" s="338"/>
      <c r="AB21" s="338"/>
      <c r="AC21" s="52"/>
      <c r="AD21" s="27" t="s">
        <v>68</v>
      </c>
      <c r="AE21" s="141"/>
      <c r="AF21" s="5"/>
      <c r="AG21" s="147">
        <f>AF21*6</f>
        <v>0</v>
      </c>
      <c r="AH21" s="147">
        <f>AG21/2.02</f>
        <v>0</v>
      </c>
      <c r="AI21" s="155"/>
      <c r="AJ21" s="316"/>
      <c r="AK21" s="317"/>
      <c r="AL21" s="317"/>
      <c r="AM21" s="318"/>
      <c r="AO21" s="316"/>
      <c r="AP21" s="317"/>
      <c r="AQ21" s="317"/>
      <c r="AR21" s="318"/>
      <c r="AY21" s="15" t="s">
        <v>149</v>
      </c>
      <c r="AZ21" s="15" t="s">
        <v>181</v>
      </c>
      <c r="BA21" s="15"/>
      <c r="BB21" s="15"/>
      <c r="BC21" s="15"/>
      <c r="BD21" s="15" t="s">
        <v>182</v>
      </c>
      <c r="BV21" s="297" t="s">
        <v>888</v>
      </c>
      <c r="BW21" s="16">
        <v>3</v>
      </c>
      <c r="BZ21" s="116" t="s">
        <v>913</v>
      </c>
      <c r="CA21" s="116"/>
    </row>
    <row r="22" spans="1:79" ht="32.1" customHeight="1" x14ac:dyDescent="0.3">
      <c r="A22" s="9"/>
      <c r="B22" s="344" t="s">
        <v>73</v>
      </c>
      <c r="C22" s="344"/>
      <c r="D22" s="344"/>
      <c r="E22" s="344"/>
      <c r="F22" s="344" t="s">
        <v>74</v>
      </c>
      <c r="G22" s="344"/>
      <c r="H22" s="344" t="s">
        <v>75</v>
      </c>
      <c r="I22" s="344"/>
      <c r="J22" s="53"/>
      <c r="K22" s="144" t="s">
        <v>935</v>
      </c>
      <c r="L22" s="461">
        <f>IFERROR(D9,"¿?")</f>
        <v>0</v>
      </c>
      <c r="M22" s="462"/>
      <c r="N22" s="408" t="str">
        <f>IFERROR(VLOOKUP(L22,BV3:BW62,2,FALSE),"0")</f>
        <v>0</v>
      </c>
      <c r="O22" s="408"/>
      <c r="P22" s="53"/>
      <c r="Q22" s="106" t="s">
        <v>406</v>
      </c>
      <c r="R22" s="106" t="s">
        <v>406</v>
      </c>
      <c r="S22" s="145" t="e">
        <f>VLOOKUP($L$8,PREVAC!$Q$2:$X$38,2,FALSE)</f>
        <v>#N/A</v>
      </c>
      <c r="T22" s="145" t="e">
        <f>VLOOKUP($L$9,PREVAC!$Q$2:$X$38,2,FALSE)</f>
        <v>#N/A</v>
      </c>
      <c r="U22" s="145" t="e">
        <f>VLOOKUP(S22,PREVAC!$I$3:$J$27,2,FALSE)</f>
        <v>#N/A</v>
      </c>
      <c r="V22" s="145" t="e">
        <f>VLOOKUP(T22,PREVAC!$I$3:$J$27,2,FALSE)</f>
        <v>#N/A</v>
      </c>
      <c r="W22" s="53"/>
      <c r="X22" s="53"/>
      <c r="Y22" s="39" t="s">
        <v>76</v>
      </c>
      <c r="Z22" s="36" t="e">
        <f>AB18/Z18</f>
        <v>#N/A</v>
      </c>
      <c r="AA22" s="28" t="s">
        <v>77</v>
      </c>
      <c r="AB22" s="36" t="e">
        <f>AB20/Z20</f>
        <v>#N/A</v>
      </c>
      <c r="AC22" s="52"/>
      <c r="AD22" s="27" t="s">
        <v>72</v>
      </c>
      <c r="AE22" s="159">
        <f>AF21/0.13333333</f>
        <v>0</v>
      </c>
      <c r="AF22" s="141"/>
      <c r="AG22" s="141"/>
      <c r="AH22" s="141"/>
      <c r="AI22" s="9"/>
      <c r="AJ22" s="313" t="s">
        <v>873</v>
      </c>
      <c r="AK22" s="314"/>
      <c r="AL22" s="314"/>
      <c r="AM22" s="315"/>
      <c r="AO22" s="313" t="s">
        <v>874</v>
      </c>
      <c r="AP22" s="314"/>
      <c r="AQ22" s="314"/>
      <c r="AR22" s="315"/>
      <c r="AT22" s="313" t="s">
        <v>382</v>
      </c>
      <c r="AU22" s="314"/>
      <c r="AV22" s="314"/>
      <c r="AW22" s="315"/>
      <c r="AY22" s="15" t="s">
        <v>142</v>
      </c>
      <c r="AZ22" s="15" t="s">
        <v>183</v>
      </c>
      <c r="BA22" s="15" t="s">
        <v>184</v>
      </c>
      <c r="BB22" s="17" t="s">
        <v>185</v>
      </c>
      <c r="BC22" s="15" t="s">
        <v>186</v>
      </c>
      <c r="BD22" s="15"/>
      <c r="BV22" s="297" t="s">
        <v>889</v>
      </c>
      <c r="BW22" s="16">
        <v>10</v>
      </c>
      <c r="BZ22" s="116" t="s">
        <v>915</v>
      </c>
      <c r="CA22" s="116"/>
    </row>
    <row r="23" spans="1:79" ht="32.1" customHeight="1" x14ac:dyDescent="0.3">
      <c r="A23" s="9"/>
      <c r="B23" s="2"/>
      <c r="C23" s="40" t="s">
        <v>79</v>
      </c>
      <c r="D23" s="6"/>
      <c r="E23" s="40" t="s">
        <v>931</v>
      </c>
      <c r="F23" s="49">
        <f>AF21</f>
        <v>0</v>
      </c>
      <c r="G23" s="40" t="s">
        <v>80</v>
      </c>
      <c r="H23" s="2"/>
      <c r="I23" s="40" t="str">
        <f>IF(B29=AL26,"Pre-vuelo Piloto al Mando","Pre-Vuelo Alumno")</f>
        <v>Pre-Vuelo Alumno</v>
      </c>
      <c r="J23" s="54"/>
      <c r="K23" s="144" t="s">
        <v>259</v>
      </c>
      <c r="L23" s="342" t="str">
        <f>IF(AE22&lt;=AW47,AX47,IF(AE22&lt;=AW45,AX45,IF(AE22&lt;=AW44,AX44,IF(AE22&lt;=AW43,AX43,IF(AE22&lt;=AW42,AX42,IF(AE22&gt;AW41,AX41,"¿?"))))))</f>
        <v>¿?</v>
      </c>
      <c r="M23" s="343"/>
      <c r="N23" s="408" t="str">
        <f>IFERROR(VLOOKUP(L23,BX3:BY7,2,FALSE),"0")</f>
        <v>0</v>
      </c>
      <c r="O23" s="408"/>
      <c r="P23" s="54"/>
      <c r="Q23" s="106" t="s">
        <v>407</v>
      </c>
      <c r="R23" s="106" t="s">
        <v>407</v>
      </c>
      <c r="S23" s="145" t="e">
        <f>VLOOKUP($L$8,PREVAC!$Q$2:$X$38,3,FALSE)</f>
        <v>#N/A</v>
      </c>
      <c r="T23" s="145" t="e">
        <f>VLOOKUP($L$9,PREVAC!$Q$2:$X$38,3,FALSE)</f>
        <v>#N/A</v>
      </c>
      <c r="U23" s="145" t="e">
        <f>VLOOKUP(S23,PREVAC!$I$3:$J$27,2,FALSE)</f>
        <v>#N/A</v>
      </c>
      <c r="V23" s="145" t="e">
        <f>VLOOKUP(T23,PREVAC!$I$3:$J$27,2,FALSE)</f>
        <v>#N/A</v>
      </c>
      <c r="W23" s="54"/>
      <c r="X23" s="54"/>
      <c r="Y23" s="338" t="s">
        <v>82</v>
      </c>
      <c r="Z23" s="338"/>
      <c r="AA23" s="338"/>
      <c r="AB23" s="338"/>
      <c r="AC23" s="52"/>
      <c r="AD23" s="27" t="s">
        <v>78</v>
      </c>
      <c r="AE23" s="160">
        <f>AE22/60</f>
        <v>0</v>
      </c>
      <c r="AF23" s="141"/>
      <c r="AG23" s="141"/>
      <c r="AH23" s="141"/>
      <c r="AI23" s="9"/>
      <c r="AJ23" s="316"/>
      <c r="AK23" s="317"/>
      <c r="AL23" s="317"/>
      <c r="AM23" s="318"/>
      <c r="AN23" s="41"/>
      <c r="AO23" s="316"/>
      <c r="AP23" s="317"/>
      <c r="AQ23" s="317"/>
      <c r="AR23" s="318"/>
      <c r="AT23" s="316"/>
      <c r="AU23" s="317"/>
      <c r="AV23" s="317"/>
      <c r="AW23" s="318"/>
      <c r="AY23" s="15" t="s">
        <v>143</v>
      </c>
      <c r="AZ23" s="15" t="s">
        <v>187</v>
      </c>
      <c r="BA23" s="15"/>
      <c r="BB23" s="17" t="s">
        <v>188</v>
      </c>
      <c r="BC23" s="15"/>
      <c r="BD23" s="15" t="s">
        <v>189</v>
      </c>
      <c r="BV23" s="297" t="s">
        <v>890</v>
      </c>
      <c r="BW23" s="16">
        <v>3</v>
      </c>
      <c r="BZ23" s="116" t="s">
        <v>917</v>
      </c>
      <c r="CA23" s="116"/>
    </row>
    <row r="24" spans="1:79" ht="32.1" customHeight="1" x14ac:dyDescent="0.3">
      <c r="A24" s="9"/>
      <c r="B24" s="2"/>
      <c r="C24" s="40" t="s">
        <v>83</v>
      </c>
      <c r="D24" s="6"/>
      <c r="E24" s="40" t="str">
        <f>IF(B29=AL26,"EFB - Asigando","EFB - Asigando")</f>
        <v>EFB - Asigando</v>
      </c>
      <c r="F24" s="2"/>
      <c r="G24" s="40" t="s">
        <v>84</v>
      </c>
      <c r="H24" s="2"/>
      <c r="I24" s="40" t="str">
        <f>IF(B29=AL26,"Pre-vuelo P. Seguridad","Pre-vuelo Instructor")</f>
        <v>Pre-vuelo Instructor</v>
      </c>
      <c r="J24" s="54"/>
      <c r="K24" s="144" t="s">
        <v>167</v>
      </c>
      <c r="L24" s="340"/>
      <c r="M24" s="341"/>
      <c r="N24" s="408" t="str">
        <f>IFERROR(VLOOKUP(L24,BZ3:CA6,2,FALSE),"0")</f>
        <v>0</v>
      </c>
      <c r="O24" s="408"/>
      <c r="P24" s="54"/>
      <c r="Q24" s="106" t="s">
        <v>408</v>
      </c>
      <c r="R24" s="106" t="s">
        <v>408</v>
      </c>
      <c r="S24" s="145" t="e">
        <f>VLOOKUP($L$8,PREVAC!$Q$2:$X$38,4,FALSE)</f>
        <v>#N/A</v>
      </c>
      <c r="T24" s="145" t="e">
        <f>VLOOKUP($L$9,PREVAC!$Q$2:$X$38,4,FALSE)</f>
        <v>#N/A</v>
      </c>
      <c r="U24" s="145" t="e">
        <f>VLOOKUP(S24,PREVAC!$I$3:$J$27,2,FALSE)</f>
        <v>#N/A</v>
      </c>
      <c r="V24" s="145" t="e">
        <f>VLOOKUP(T24,PREVAC!$I$3:$J$27,2,FALSE)</f>
        <v>#N/A</v>
      </c>
      <c r="W24" s="54"/>
      <c r="X24" s="54"/>
      <c r="Y24" s="463">
        <f>AO15</f>
        <v>0</v>
      </c>
      <c r="Z24" s="464"/>
      <c r="AA24" s="464"/>
      <c r="AB24" s="465"/>
      <c r="AC24" s="161"/>
      <c r="AD24" s="9"/>
      <c r="AE24" s="9"/>
      <c r="AF24" s="9"/>
      <c r="AG24" s="9"/>
      <c r="AH24" s="9"/>
      <c r="AI24" s="9"/>
      <c r="AY24" s="14" t="s">
        <v>150</v>
      </c>
      <c r="AZ24" s="14"/>
      <c r="BA24" s="14"/>
      <c r="BB24" s="14"/>
      <c r="BC24" s="14"/>
      <c r="BD24" s="14"/>
      <c r="BV24" s="297" t="s">
        <v>891</v>
      </c>
      <c r="BW24" s="16">
        <v>15</v>
      </c>
      <c r="BZ24" s="116" t="s">
        <v>919</v>
      </c>
      <c r="CA24" s="116"/>
    </row>
    <row r="25" spans="1:79" ht="32.1" customHeight="1" x14ac:dyDescent="0.3">
      <c r="A25" s="9"/>
      <c r="B25" s="2"/>
      <c r="C25" s="40" t="s">
        <v>92</v>
      </c>
      <c r="D25" s="2"/>
      <c r="E25" s="40" t="s">
        <v>867</v>
      </c>
      <c r="F25" s="2"/>
      <c r="G25" s="40" t="s">
        <v>93</v>
      </c>
      <c r="H25" s="42"/>
      <c r="I25" s="43"/>
      <c r="J25" s="54"/>
      <c r="K25" s="302" t="s">
        <v>156</v>
      </c>
      <c r="L25" s="300" t="str">
        <f>IF(B29=AL26,"Piloto","Alumno")</f>
        <v>Alumno</v>
      </c>
      <c r="M25" s="301" t="str">
        <f>IF(B29=AL26,"P. Seguridad","P. Instructor")</f>
        <v>P. Instructor</v>
      </c>
      <c r="N25" s="22"/>
      <c r="O25" s="22"/>
      <c r="P25" s="54"/>
      <c r="Q25" s="106" t="s">
        <v>409</v>
      </c>
      <c r="R25" s="106" t="s">
        <v>409</v>
      </c>
      <c r="S25" s="145" t="e">
        <f>VLOOKUP($L$8,PREVAC!$Q$2:$X$38,5,FALSE)</f>
        <v>#N/A</v>
      </c>
      <c r="T25" s="145" t="e">
        <f>VLOOKUP($L$9,PREVAC!$Q$2:$X$38,5,FALSE)</f>
        <v>#N/A</v>
      </c>
      <c r="U25" s="145" t="e">
        <f>VLOOKUP(S25,PREVAC!$I$3:$J$27,2,FALSE)</f>
        <v>#N/A</v>
      </c>
      <c r="V25" s="145" t="e">
        <f>VLOOKUP(T25,PREVAC!$I$3:$J$27,2,FALSE)</f>
        <v>#N/A</v>
      </c>
      <c r="W25" s="54"/>
      <c r="X25" s="54"/>
      <c r="Y25" s="466"/>
      <c r="Z25" s="467"/>
      <c r="AA25" s="467"/>
      <c r="AB25" s="468"/>
      <c r="AC25" s="161"/>
      <c r="AD25" s="138" t="s">
        <v>85</v>
      </c>
      <c r="AE25" s="162"/>
      <c r="AF25" s="162"/>
      <c r="AG25" s="162"/>
      <c r="AH25" s="163"/>
      <c r="AI25" s="9"/>
      <c r="AJ25" s="164" t="s">
        <v>86</v>
      </c>
      <c r="AK25" s="164" t="s">
        <v>87</v>
      </c>
      <c r="AL25" s="164" t="s">
        <v>88</v>
      </c>
      <c r="AN25" s="164" t="s">
        <v>89</v>
      </c>
      <c r="AO25" s="164" t="s">
        <v>90</v>
      </c>
      <c r="AP25" s="164" t="s">
        <v>91</v>
      </c>
      <c r="AY25" s="15" t="s">
        <v>151</v>
      </c>
      <c r="AZ25" s="15" t="s">
        <v>98</v>
      </c>
      <c r="BA25" s="15" t="s">
        <v>201</v>
      </c>
      <c r="BB25" s="15" t="s">
        <v>124</v>
      </c>
      <c r="BC25" s="15" t="s">
        <v>202</v>
      </c>
      <c r="BD25" s="15" t="s">
        <v>203</v>
      </c>
      <c r="BV25" s="297" t="s">
        <v>892</v>
      </c>
      <c r="BW25" s="16">
        <v>15</v>
      </c>
    </row>
    <row r="26" spans="1:79" ht="32.1" customHeight="1" x14ac:dyDescent="0.3">
      <c r="A26" s="9"/>
      <c r="B26" s="2"/>
      <c r="C26" s="40" t="s">
        <v>102</v>
      </c>
      <c r="D26" s="2"/>
      <c r="E26" s="40" t="s">
        <v>291</v>
      </c>
      <c r="F26" s="2"/>
      <c r="G26" s="40" t="s">
        <v>103</v>
      </c>
      <c r="H26" s="345" t="s">
        <v>104</v>
      </c>
      <c r="I26" s="345"/>
      <c r="J26" s="54"/>
      <c r="K26" s="144" t="s">
        <v>260</v>
      </c>
      <c r="L26" s="1"/>
      <c r="M26" s="1"/>
      <c r="N26" s="106" t="str">
        <f>IFERROR(VLOOKUP(L26,CB3:CC5,2,FALSE),"0")</f>
        <v>0</v>
      </c>
      <c r="O26" s="106" t="str">
        <f>IFERROR(VLOOKUP(M26,CB3:CC5,2,FALSE),"0")</f>
        <v>0</v>
      </c>
      <c r="P26" s="54"/>
      <c r="Q26" s="106" t="s">
        <v>410</v>
      </c>
      <c r="R26" s="106" t="s">
        <v>410</v>
      </c>
      <c r="S26" s="145" t="e">
        <f>VLOOKUP($L$8,PREVAC!$Q$2:$X$38,6,FALSE)</f>
        <v>#N/A</v>
      </c>
      <c r="T26" s="145" t="e">
        <f>VLOOKUP($L$9,PREVAC!$Q$2:$X$38,6,FALSE)</f>
        <v>#N/A</v>
      </c>
      <c r="U26" s="145" t="e">
        <f>VLOOKUP(S26,PREVAC!$I$3:$J$27,2,FALSE)</f>
        <v>#N/A</v>
      </c>
      <c r="V26" s="145" t="e">
        <f>VLOOKUP(T26,PREVAC!$I$3:$J$27,2,FALSE)</f>
        <v>#N/A</v>
      </c>
      <c r="W26" s="54"/>
      <c r="X26" s="54"/>
      <c r="Y26" s="466"/>
      <c r="Z26" s="467"/>
      <c r="AA26" s="467"/>
      <c r="AB26" s="468"/>
      <c r="AC26" s="161"/>
      <c r="AD26" s="165" t="s">
        <v>94</v>
      </c>
      <c r="AE26" s="165" t="s">
        <v>95</v>
      </c>
      <c r="AF26" s="165" t="s">
        <v>96</v>
      </c>
      <c r="AG26" s="165" t="s">
        <v>21</v>
      </c>
      <c r="AH26" s="165" t="s">
        <v>97</v>
      </c>
      <c r="AI26" s="9"/>
      <c r="AJ26" s="16" t="s">
        <v>98</v>
      </c>
      <c r="AK26" s="166" t="s">
        <v>99</v>
      </c>
      <c r="AL26" s="167" t="s">
        <v>100</v>
      </c>
      <c r="AN26" s="167" t="s">
        <v>100</v>
      </c>
      <c r="AO26" s="166" t="s">
        <v>101</v>
      </c>
      <c r="AP26" s="16">
        <v>1</v>
      </c>
      <c r="AY26" s="15" t="s">
        <v>152</v>
      </c>
      <c r="AZ26" s="15" t="s">
        <v>204</v>
      </c>
      <c r="BA26" s="15" t="s">
        <v>205</v>
      </c>
      <c r="BB26" s="15" t="s">
        <v>206</v>
      </c>
      <c r="BC26" s="15" t="s">
        <v>207</v>
      </c>
      <c r="BD26" s="15" t="s">
        <v>208</v>
      </c>
      <c r="BV26" s="297" t="s">
        <v>893</v>
      </c>
      <c r="BW26" s="16">
        <v>3</v>
      </c>
    </row>
    <row r="27" spans="1:79" ht="32.1" customHeight="1" x14ac:dyDescent="0.3">
      <c r="A27" s="9"/>
      <c r="B27" s="2"/>
      <c r="C27" s="40" t="s">
        <v>109</v>
      </c>
      <c r="D27" s="2"/>
      <c r="E27" s="40" t="s">
        <v>110</v>
      </c>
      <c r="F27" s="2"/>
      <c r="G27" s="40" t="s">
        <v>868</v>
      </c>
      <c r="H27" s="345" t="s">
        <v>112</v>
      </c>
      <c r="I27" s="345"/>
      <c r="J27" s="54"/>
      <c r="K27" s="144" t="s">
        <v>135</v>
      </c>
      <c r="L27" s="1"/>
      <c r="M27" s="1"/>
      <c r="N27" s="106" t="str">
        <f>IFERROR(VLOOKUP(L27,CD3:CE5,2,FALSE),"0")</f>
        <v>0</v>
      </c>
      <c r="O27" s="106" t="str">
        <f>IFERROR(VLOOKUP(M27,CD3:CE5,2,FALSE),"0")</f>
        <v>0</v>
      </c>
      <c r="P27" s="54"/>
      <c r="Q27" s="106" t="s">
        <v>412</v>
      </c>
      <c r="R27" s="106" t="s">
        <v>412</v>
      </c>
      <c r="S27" s="145" t="e">
        <f>VLOOKUP($L$8,PREVAC!$Q$2:$X$38,7,FALSE)</f>
        <v>#N/A</v>
      </c>
      <c r="T27" s="145" t="e">
        <f>VLOOKUP($L$9,PREVAC!$Q$2:$X$38,7,FALSE)</f>
        <v>#N/A</v>
      </c>
      <c r="U27" s="145" t="e">
        <f>VLOOKUP(S27,PREVAC!$I$3:$J$27,2,FALSE)</f>
        <v>#N/A</v>
      </c>
      <c r="V27" s="145" t="e">
        <f>VLOOKUP(T27,PREVAC!$I$3:$J$27,2,FALSE)</f>
        <v>#N/A</v>
      </c>
      <c r="W27" s="54"/>
      <c r="X27" s="54"/>
      <c r="Y27" s="466"/>
      <c r="Z27" s="467"/>
      <c r="AA27" s="467"/>
      <c r="AB27" s="468"/>
      <c r="AC27" s="161"/>
      <c r="AD27" s="168" t="s">
        <v>105</v>
      </c>
      <c r="AE27" s="168">
        <v>17280399</v>
      </c>
      <c r="AF27" s="168" t="s">
        <v>106</v>
      </c>
      <c r="AG27" s="168">
        <v>1688</v>
      </c>
      <c r="AH27" s="168">
        <v>41.4</v>
      </c>
      <c r="AI27" s="9"/>
      <c r="AJ27" s="16" t="s">
        <v>107</v>
      </c>
      <c r="AK27" s="167" t="s">
        <v>108</v>
      </c>
      <c r="AL27" s="166" t="s">
        <v>101</v>
      </c>
      <c r="AN27" s="166" t="s">
        <v>101</v>
      </c>
      <c r="AO27" s="167" t="s">
        <v>100</v>
      </c>
      <c r="AP27" s="16">
        <v>2</v>
      </c>
      <c r="AY27" s="15" t="s">
        <v>153</v>
      </c>
      <c r="AZ27" s="15" t="s">
        <v>209</v>
      </c>
      <c r="BA27" s="15"/>
      <c r="BB27" s="15" t="s">
        <v>210</v>
      </c>
      <c r="BC27" s="15"/>
      <c r="BD27" s="15" t="s">
        <v>211</v>
      </c>
      <c r="BV27" s="298" t="s">
        <v>894</v>
      </c>
      <c r="BW27" s="16">
        <v>3</v>
      </c>
    </row>
    <row r="28" spans="1:79" ht="32.1" customHeight="1" x14ac:dyDescent="0.3">
      <c r="A28" s="9"/>
      <c r="B28" s="364" t="s">
        <v>159</v>
      </c>
      <c r="C28" s="365"/>
      <c r="D28" s="365"/>
      <c r="E28" s="366"/>
      <c r="F28" s="364" t="s">
        <v>160</v>
      </c>
      <c r="G28" s="365"/>
      <c r="H28" s="365"/>
      <c r="I28" s="366"/>
      <c r="J28" s="52"/>
      <c r="K28" s="144" t="s">
        <v>233</v>
      </c>
      <c r="L28" s="1"/>
      <c r="M28" s="1"/>
      <c r="N28" s="106" t="str">
        <f>IFERROR(VLOOKUP(L28,CF3:CG5,2,FALSE),"0")</f>
        <v>0</v>
      </c>
      <c r="O28" s="106" t="str">
        <f>IFERROR(VLOOKUP(M28,CF3:CG5,2,FALSE),"0")</f>
        <v>0</v>
      </c>
      <c r="P28" s="52"/>
      <c r="Q28" s="106" t="s">
        <v>411</v>
      </c>
      <c r="R28" s="106" t="s">
        <v>411</v>
      </c>
      <c r="S28" s="145" t="e">
        <f>VLOOKUP($L$8,PREVAC!$Q$2:$X$38,8,FALSE)</f>
        <v>#N/A</v>
      </c>
      <c r="T28" s="145" t="e">
        <f>VLOOKUP($L$9,PREVAC!$Q$2:$X$38,8,FALSE)</f>
        <v>#N/A</v>
      </c>
      <c r="U28" s="145" t="e">
        <f>VLOOKUP(S28,PREVAC!$I$3:$J$27,2,FALSE)</f>
        <v>#N/A</v>
      </c>
      <c r="V28" s="145" t="e">
        <f>VLOOKUP(T28,PREVAC!$I$3:$J$27,2,FALSE)</f>
        <v>#N/A</v>
      </c>
      <c r="W28" s="52"/>
      <c r="X28" s="52"/>
      <c r="Y28" s="466"/>
      <c r="Z28" s="467"/>
      <c r="AA28" s="467"/>
      <c r="AB28" s="468"/>
      <c r="AC28" s="161"/>
      <c r="AD28" s="168" t="s">
        <v>113</v>
      </c>
      <c r="AE28" s="168">
        <v>17259391</v>
      </c>
      <c r="AF28" s="168" t="s">
        <v>114</v>
      </c>
      <c r="AG28" s="168">
        <v>1535</v>
      </c>
      <c r="AH28" s="168">
        <v>42.4</v>
      </c>
      <c r="AI28" s="9"/>
      <c r="AJ28" s="18" t="s">
        <v>115</v>
      </c>
      <c r="AK28" s="169" t="s">
        <v>116</v>
      </c>
      <c r="AL28" s="169" t="s">
        <v>116</v>
      </c>
      <c r="AN28" s="16"/>
      <c r="AO28" s="16"/>
      <c r="AP28" s="16">
        <v>3</v>
      </c>
      <c r="AY28" s="15" t="s">
        <v>154</v>
      </c>
      <c r="AZ28" s="15" t="s">
        <v>212</v>
      </c>
      <c r="BA28" s="15"/>
      <c r="BB28" s="15" t="s">
        <v>213</v>
      </c>
      <c r="BC28" s="15"/>
      <c r="BD28" s="15" t="s">
        <v>214</v>
      </c>
      <c r="BV28" s="298" t="s">
        <v>895</v>
      </c>
      <c r="BW28" s="16">
        <v>8</v>
      </c>
    </row>
    <row r="29" spans="1:79" ht="32.1" customHeight="1" x14ac:dyDescent="0.3">
      <c r="A29" s="9"/>
      <c r="B29" s="8"/>
      <c r="C29" s="170" t="s">
        <v>865</v>
      </c>
      <c r="D29" s="44" t="str">
        <f>IFERROR(VLOOKUP(B29,AN25:AO28,2,FALSE)," ")</f>
        <v xml:space="preserve"> </v>
      </c>
      <c r="E29" s="170" t="s">
        <v>866</v>
      </c>
      <c r="F29" s="8"/>
      <c r="G29" s="170" t="s">
        <v>122</v>
      </c>
      <c r="H29" s="8"/>
      <c r="I29" s="170" t="s">
        <v>123</v>
      </c>
      <c r="J29" s="54"/>
      <c r="K29" s="40" t="s">
        <v>255</v>
      </c>
      <c r="L29" s="1"/>
      <c r="M29" s="1"/>
      <c r="N29" s="106" t="str">
        <f>IFERROR(VLOOKUP(L29,CH3:CI4,2,FALSE),"0")</f>
        <v>0</v>
      </c>
      <c r="O29" s="106" t="str">
        <f>IFERROR(VLOOKUP(M29,CH3:CI4,2,FALSE),"0")</f>
        <v>0</v>
      </c>
      <c r="P29" s="54"/>
      <c r="Q29" s="311" t="s">
        <v>493</v>
      </c>
      <c r="R29" s="311" t="s">
        <v>493</v>
      </c>
      <c r="S29" s="311"/>
      <c r="T29" s="311"/>
      <c r="U29" s="369" t="e">
        <f>SUM(U22:U28)</f>
        <v>#N/A</v>
      </c>
      <c r="V29" s="369" t="e">
        <f>SUM(V22:V28)</f>
        <v>#N/A</v>
      </c>
      <c r="W29" s="54"/>
      <c r="X29" s="54"/>
      <c r="Y29" s="466"/>
      <c r="Z29" s="467"/>
      <c r="AA29" s="467"/>
      <c r="AB29" s="468"/>
      <c r="AC29" s="161"/>
      <c r="AD29" s="9"/>
      <c r="AE29" s="9"/>
      <c r="AF29" s="9"/>
      <c r="AG29" s="9"/>
      <c r="AH29" s="9"/>
      <c r="AI29" s="9"/>
      <c r="AJ29" s="16" t="s">
        <v>117</v>
      </c>
      <c r="AP29" s="16">
        <v>4</v>
      </c>
      <c r="AY29" s="15" t="s">
        <v>155</v>
      </c>
      <c r="AZ29" s="15" t="s">
        <v>215</v>
      </c>
      <c r="BA29" s="15" t="s">
        <v>216</v>
      </c>
      <c r="BB29" s="15"/>
      <c r="BC29" s="15" t="s">
        <v>217</v>
      </c>
      <c r="BD29" s="15" t="s">
        <v>218</v>
      </c>
      <c r="BV29" s="298" t="s">
        <v>896</v>
      </c>
      <c r="BW29" s="16">
        <v>3</v>
      </c>
    </row>
    <row r="30" spans="1:79" ht="32.1" customHeight="1" x14ac:dyDescent="0.3">
      <c r="A30" s="9"/>
      <c r="B30" s="367" t="s">
        <v>127</v>
      </c>
      <c r="C30" s="367"/>
      <c r="D30" s="367"/>
      <c r="E30" s="367"/>
      <c r="F30" s="367"/>
      <c r="G30" s="367"/>
      <c r="H30" s="367"/>
      <c r="I30" s="367"/>
      <c r="J30" s="53"/>
      <c r="K30" s="40" t="s">
        <v>393</v>
      </c>
      <c r="L30" s="1"/>
      <c r="M30" s="1"/>
      <c r="N30" s="106" t="str">
        <f>IFERROR(VLOOKUP(L30,CJ3:CK5,2,FALSE),"0")</f>
        <v>0</v>
      </c>
      <c r="O30" s="106" t="str">
        <f>IFERROR(VLOOKUP(M30,CJ3:CK5,2,FALSE),"0")</f>
        <v>0</v>
      </c>
      <c r="P30" s="53"/>
      <c r="Q30" s="407"/>
      <c r="R30" s="407"/>
      <c r="S30" s="407"/>
      <c r="T30" s="407"/>
      <c r="U30" s="370"/>
      <c r="V30" s="370"/>
      <c r="W30" s="53"/>
      <c r="X30" s="53"/>
      <c r="Y30" s="466"/>
      <c r="Z30" s="467"/>
      <c r="AA30" s="467"/>
      <c r="AB30" s="468"/>
      <c r="AC30" s="161"/>
      <c r="AD30" s="138" t="s">
        <v>118</v>
      </c>
      <c r="AE30" s="162"/>
      <c r="AF30" s="162"/>
      <c r="AG30" s="162"/>
      <c r="AH30" s="163"/>
      <c r="AI30" s="9"/>
      <c r="AJ30" s="16" t="s">
        <v>119</v>
      </c>
      <c r="AP30" s="16">
        <v>5</v>
      </c>
      <c r="BV30" s="298" t="s">
        <v>897</v>
      </c>
      <c r="BW30" s="16">
        <v>3</v>
      </c>
    </row>
    <row r="31" spans="1:79" ht="32.1" customHeight="1" x14ac:dyDescent="0.3">
      <c r="A31" s="9"/>
      <c r="B31" s="313" t="s">
        <v>869</v>
      </c>
      <c r="C31" s="314"/>
      <c r="D31" s="314"/>
      <c r="E31" s="314"/>
      <c r="F31" s="314"/>
      <c r="G31" s="314"/>
      <c r="H31" s="314"/>
      <c r="I31" s="315"/>
      <c r="J31" s="54"/>
      <c r="K31" s="144" t="s">
        <v>394</v>
      </c>
      <c r="L31" s="1"/>
      <c r="M31" s="1"/>
      <c r="N31" s="106" t="str">
        <f>IFERROR(VLOOKUP(L31,CL3:CM9,2,FALSE),"0")</f>
        <v>0</v>
      </c>
      <c r="O31" s="106" t="str">
        <f>IFERROR(VLOOKUP(M31,CL3:CM9,2,FALSE),"0")</f>
        <v>0</v>
      </c>
      <c r="P31" s="54"/>
      <c r="Q31" s="356" t="s">
        <v>490</v>
      </c>
      <c r="R31" s="356"/>
      <c r="S31" s="408"/>
      <c r="T31" s="408"/>
      <c r="U31" s="347"/>
      <c r="V31" s="348"/>
      <c r="W31" s="54"/>
      <c r="X31" s="54"/>
      <c r="Y31" s="466"/>
      <c r="Z31" s="467"/>
      <c r="AA31" s="467"/>
      <c r="AB31" s="468"/>
      <c r="AC31" s="161"/>
      <c r="AD31" s="171" t="s">
        <v>120</v>
      </c>
      <c r="AE31" s="171" t="s">
        <v>28</v>
      </c>
      <c r="AF31" s="171" t="s">
        <v>10</v>
      </c>
      <c r="AG31" s="172" t="s">
        <v>368</v>
      </c>
      <c r="AH31" s="22" t="s">
        <v>369</v>
      </c>
      <c r="AI31" s="9"/>
      <c r="AJ31" s="16" t="s">
        <v>121</v>
      </c>
      <c r="AP31" s="16">
        <v>6</v>
      </c>
      <c r="BV31" s="298" t="s">
        <v>898</v>
      </c>
      <c r="BW31" s="16">
        <v>8</v>
      </c>
    </row>
    <row r="32" spans="1:79" ht="32.1" customHeight="1" x14ac:dyDescent="0.3">
      <c r="A32" s="9"/>
      <c r="B32" s="316"/>
      <c r="C32" s="317"/>
      <c r="D32" s="317"/>
      <c r="E32" s="317"/>
      <c r="F32" s="317"/>
      <c r="G32" s="317"/>
      <c r="H32" s="317"/>
      <c r="I32" s="318"/>
      <c r="J32" s="54"/>
      <c r="K32" s="40" t="s">
        <v>251</v>
      </c>
      <c r="L32" s="1"/>
      <c r="M32" s="16" t="str">
        <f>IF(AND(M25="P. Instructor",AE9=AD32),AH32,IF(AND(M25="P. Instructor",AE9=AD33),AH33,IF(AND(M25="P. Instructor",AE9=AD34),AH34,IF(AND(M25="P. Instructor",AE9=AD35),AH35,IF(AND(M25="P. Instructor",AE9=AD36),AH36,IF(AND(M25="P. Instructor",AE9=AD37),AH37,IF(AND(M25="P. Instructor",AE9=AD38),AH38,"N/A")))))))</f>
        <v>N/A</v>
      </c>
      <c r="N32" s="106" t="str">
        <f>IFERROR(VLOOKUP(L32,CN3:CO5,2,FALSE),"0")</f>
        <v>0</v>
      </c>
      <c r="O32" s="106" t="str">
        <f>IFERROR(VLOOKUP(M32,CP3:CQ5,2,FALSE),"0")</f>
        <v>0</v>
      </c>
      <c r="P32" s="54"/>
      <c r="Q32" s="356"/>
      <c r="R32" s="356"/>
      <c r="S32" s="408"/>
      <c r="T32" s="408"/>
      <c r="U32" s="349"/>
      <c r="V32" s="350"/>
      <c r="W32" s="54"/>
      <c r="X32" s="54"/>
      <c r="Y32" s="466"/>
      <c r="Z32" s="467"/>
      <c r="AA32" s="467"/>
      <c r="AB32" s="468"/>
      <c r="AC32" s="161"/>
      <c r="AD32" s="294" t="s">
        <v>949</v>
      </c>
      <c r="AE32" s="294">
        <v>72</v>
      </c>
      <c r="AF32" s="294" t="s">
        <v>950</v>
      </c>
      <c r="AG32" s="294" t="s">
        <v>99</v>
      </c>
      <c r="AH32" s="168" t="s">
        <v>246</v>
      </c>
      <c r="AI32" s="9"/>
      <c r="AJ32" s="16" t="s">
        <v>124</v>
      </c>
      <c r="AP32" s="16">
        <v>7</v>
      </c>
      <c r="AR32" s="164" t="s">
        <v>367</v>
      </c>
      <c r="AS32" s="164" t="s">
        <v>366</v>
      </c>
      <c r="AT32" s="164" t="s">
        <v>371</v>
      </c>
      <c r="AV32" s="12"/>
      <c r="AW32" s="16"/>
      <c r="AX32" s="164" t="s">
        <v>166</v>
      </c>
      <c r="AZ32" s="16" t="s">
        <v>379</v>
      </c>
      <c r="BV32" s="298" t="s">
        <v>899</v>
      </c>
      <c r="BW32" s="16">
        <v>4</v>
      </c>
    </row>
    <row r="33" spans="1:89" ht="32.1" customHeight="1" x14ac:dyDescent="0.3">
      <c r="A33" s="9"/>
      <c r="B33" s="379" t="str">
        <f>IF(B29=AL26,"Firma Piloto Supervisor / Piloto de Seguridad","Firma Piloto Instructor")</f>
        <v>Firma Piloto Instructor</v>
      </c>
      <c r="C33" s="380"/>
      <c r="D33" s="380"/>
      <c r="E33" s="381"/>
      <c r="F33" s="379" t="str">
        <f>IF(B29=AL26,"Firma Piloto Al Mando","Firma Piloto Alumno")</f>
        <v>Firma Piloto Alumno</v>
      </c>
      <c r="G33" s="380"/>
      <c r="H33" s="380"/>
      <c r="I33" s="381"/>
      <c r="J33" s="56"/>
      <c r="K33" s="346" t="s">
        <v>396</v>
      </c>
      <c r="L33" s="346"/>
      <c r="M33" s="346"/>
      <c r="N33" s="359"/>
      <c r="O33" s="360"/>
      <c r="P33" s="56"/>
      <c r="Q33" s="362"/>
      <c r="R33" s="363"/>
      <c r="S33" s="362"/>
      <c r="T33" s="363"/>
      <c r="U33" s="362"/>
      <c r="V33" s="363"/>
      <c r="W33" s="56"/>
      <c r="X33" s="56"/>
      <c r="Y33" s="466"/>
      <c r="Z33" s="467"/>
      <c r="AA33" s="467"/>
      <c r="AB33" s="468"/>
      <c r="AC33" s="161"/>
      <c r="AD33" s="168" t="s">
        <v>956</v>
      </c>
      <c r="AE33" s="168">
        <v>72</v>
      </c>
      <c r="AF33" s="173" t="s">
        <v>957</v>
      </c>
      <c r="AG33" s="106" t="s">
        <v>108</v>
      </c>
      <c r="AH33" s="168" t="s">
        <v>958</v>
      </c>
      <c r="AI33" s="9"/>
      <c r="AJ33" s="16" t="s">
        <v>126</v>
      </c>
      <c r="AP33" s="16">
        <v>8</v>
      </c>
      <c r="AR33" s="174" t="s">
        <v>355</v>
      </c>
      <c r="AS33" s="16" t="s">
        <v>181</v>
      </c>
      <c r="AT33" s="16" t="s">
        <v>186</v>
      </c>
      <c r="AU33" s="16" t="s">
        <v>813</v>
      </c>
      <c r="AV33" s="16" t="s">
        <v>428</v>
      </c>
      <c r="AW33" s="16">
        <v>1</v>
      </c>
      <c r="AX33" s="16" t="s">
        <v>380</v>
      </c>
      <c r="AZ33" s="16">
        <v>60</v>
      </c>
      <c r="BB33" s="16">
        <v>0</v>
      </c>
      <c r="BV33" s="298" t="s">
        <v>900</v>
      </c>
      <c r="BW33" s="16">
        <v>3</v>
      </c>
    </row>
    <row r="34" spans="1:89" ht="32.1" customHeight="1" x14ac:dyDescent="0.3">
      <c r="A34" s="9"/>
      <c r="B34" s="313" t="s">
        <v>870</v>
      </c>
      <c r="C34" s="314"/>
      <c r="D34" s="314"/>
      <c r="E34" s="315"/>
      <c r="F34" s="313" t="s">
        <v>871</v>
      </c>
      <c r="G34" s="314"/>
      <c r="H34" s="314"/>
      <c r="I34" s="315"/>
      <c r="J34" s="56"/>
      <c r="K34" s="369" t="s">
        <v>241</v>
      </c>
      <c r="L34" s="371" t="str">
        <f>IF(N34&lt;1,"CALCULAR FRAT",IF(N34&lt;=40,"ACEPTABLE",IF(N34&lt;=60,"MEDIO",IF(N34&gt;60,"ALTO"))))</f>
        <v>CALCULAR FRAT</v>
      </c>
      <c r="M34" s="372"/>
      <c r="N34" s="361">
        <f>IFERROR(N12+O12+N13+O13+N14+O14+N16+N17+N18+N19+N20+N22+N23+N24+N26+O26+N27+O27+N28+O28+N29+O29+N30+O30+N31+O31+N32+O32,"0")</f>
        <v>0</v>
      </c>
      <c r="O34" s="361"/>
      <c r="P34" s="56"/>
      <c r="Q34" s="313" t="s">
        <v>491</v>
      </c>
      <c r="R34" s="315"/>
      <c r="S34" s="313"/>
      <c r="T34" s="315"/>
      <c r="U34" s="313"/>
      <c r="V34" s="315"/>
      <c r="W34" s="56"/>
      <c r="X34" s="56"/>
      <c r="Y34" s="466"/>
      <c r="Z34" s="467"/>
      <c r="AA34" s="467"/>
      <c r="AB34" s="468"/>
      <c r="AC34" s="161"/>
      <c r="AD34" s="168" t="s">
        <v>128</v>
      </c>
      <c r="AE34" s="168">
        <v>89</v>
      </c>
      <c r="AF34" s="173" t="s">
        <v>129</v>
      </c>
      <c r="AG34" s="106" t="s">
        <v>99</v>
      </c>
      <c r="AH34" s="168" t="s">
        <v>246</v>
      </c>
      <c r="AI34" s="9"/>
      <c r="AJ34" s="16" t="s">
        <v>116</v>
      </c>
      <c r="AP34" s="16">
        <v>9</v>
      </c>
      <c r="AR34" s="174" t="s">
        <v>348</v>
      </c>
      <c r="AS34" s="16" t="s">
        <v>181</v>
      </c>
      <c r="AT34" s="16" t="s">
        <v>184</v>
      </c>
      <c r="AU34" s="16" t="s">
        <v>828</v>
      </c>
      <c r="AV34" s="16" t="s">
        <v>834</v>
      </c>
      <c r="AW34" s="16">
        <v>60</v>
      </c>
      <c r="AX34" s="15" t="s">
        <v>190</v>
      </c>
      <c r="AZ34" s="16" t="s">
        <v>375</v>
      </c>
      <c r="BB34" s="16">
        <v>1</v>
      </c>
      <c r="BV34" s="298" t="s">
        <v>901</v>
      </c>
      <c r="BW34" s="16">
        <v>8</v>
      </c>
    </row>
    <row r="35" spans="1:89" ht="32.1" customHeight="1" x14ac:dyDescent="0.3">
      <c r="A35" s="9"/>
      <c r="B35" s="316"/>
      <c r="C35" s="317"/>
      <c r="D35" s="317"/>
      <c r="E35" s="318"/>
      <c r="F35" s="316"/>
      <c r="G35" s="317"/>
      <c r="H35" s="317"/>
      <c r="I35" s="318"/>
      <c r="J35" s="52"/>
      <c r="K35" s="370"/>
      <c r="L35" s="373"/>
      <c r="M35" s="374"/>
      <c r="N35" s="361"/>
      <c r="O35" s="361"/>
      <c r="P35" s="52"/>
      <c r="Q35" s="316"/>
      <c r="R35" s="318"/>
      <c r="S35" s="316"/>
      <c r="T35" s="318"/>
      <c r="U35" s="316"/>
      <c r="V35" s="318"/>
      <c r="W35" s="52"/>
      <c r="X35" s="52"/>
      <c r="Y35" s="466"/>
      <c r="Z35" s="467"/>
      <c r="AA35" s="467"/>
      <c r="AB35" s="468"/>
      <c r="AC35" s="161"/>
      <c r="AD35" s="168" t="s">
        <v>849</v>
      </c>
      <c r="AE35" s="168">
        <v>76</v>
      </c>
      <c r="AF35" s="168" t="s">
        <v>850</v>
      </c>
      <c r="AG35" s="168" t="s">
        <v>108</v>
      </c>
      <c r="AH35" s="168" t="s">
        <v>246</v>
      </c>
      <c r="AI35" s="9"/>
      <c r="AP35" s="16">
        <v>10</v>
      </c>
      <c r="AR35" s="174" t="s">
        <v>356</v>
      </c>
      <c r="AS35" s="16" t="s">
        <v>181</v>
      </c>
      <c r="AT35" s="16" t="s">
        <v>183</v>
      </c>
      <c r="AU35" s="16" t="s">
        <v>813</v>
      </c>
      <c r="AV35" s="16" t="s">
        <v>831</v>
      </c>
      <c r="AW35" s="16">
        <v>105</v>
      </c>
      <c r="AX35" s="15" t="s">
        <v>191</v>
      </c>
      <c r="AZ35" s="16" t="s">
        <v>372</v>
      </c>
      <c r="BB35" s="16">
        <v>2</v>
      </c>
      <c r="BV35" s="298" t="s">
        <v>902</v>
      </c>
      <c r="BW35" s="16">
        <v>3</v>
      </c>
    </row>
    <row r="36" spans="1:89" ht="32.1" customHeight="1" x14ac:dyDescent="0.3">
      <c r="A36" s="9"/>
      <c r="B36" s="313" t="str">
        <f>IF(B29=AL26,AJ20," ---- // ---- ")</f>
        <v xml:space="preserve"> ---- // ---- </v>
      </c>
      <c r="C36" s="314"/>
      <c r="D36" s="314"/>
      <c r="E36" s="315"/>
      <c r="F36" s="313" t="str">
        <f>IF(B29=AL26,AJ22," ---- // ---- ")</f>
        <v xml:space="preserve"> ---- // ---- </v>
      </c>
      <c r="G36" s="314"/>
      <c r="H36" s="314"/>
      <c r="I36" s="315"/>
      <c r="J36" s="56"/>
      <c r="K36" s="313" t="str" cm="1">
        <f t="array" ref="K36">_xlfn.IFS(L34=BF10,BF15,L34=BF11,BF16,L34=BF12,BF17,L34=BF13,BF18)</f>
        <v>Debe realizar el cálculo del Riesgo de Vuelo con FRAT</v>
      </c>
      <c r="L36" s="314"/>
      <c r="M36" s="315"/>
      <c r="N36" s="347"/>
      <c r="O36" s="348"/>
      <c r="P36" s="56"/>
      <c r="Q36" s="409" t="s">
        <v>477</v>
      </c>
      <c r="R36" s="410"/>
      <c r="S36" s="347"/>
      <c r="T36" s="348"/>
      <c r="U36" s="347"/>
      <c r="V36" s="348"/>
      <c r="W36" s="56"/>
      <c r="X36" s="56"/>
      <c r="Y36" s="466"/>
      <c r="Z36" s="467"/>
      <c r="AA36" s="467"/>
      <c r="AB36" s="468"/>
      <c r="AC36" s="161"/>
      <c r="AD36" s="168" t="s">
        <v>945</v>
      </c>
      <c r="AE36" s="168">
        <v>75</v>
      </c>
      <c r="AF36" s="168" t="s">
        <v>946</v>
      </c>
      <c r="AG36" s="168" t="s">
        <v>108</v>
      </c>
      <c r="AH36" s="168" t="s">
        <v>246</v>
      </c>
      <c r="AI36" s="9"/>
      <c r="AP36" s="16">
        <v>11</v>
      </c>
      <c r="AR36" s="174" t="s">
        <v>344</v>
      </c>
      <c r="AS36" s="16" t="s">
        <v>181</v>
      </c>
      <c r="AT36" s="16" t="s">
        <v>184</v>
      </c>
      <c r="AU36" s="16" t="s">
        <v>427</v>
      </c>
      <c r="AV36" s="16" t="s">
        <v>814</v>
      </c>
      <c r="AW36" s="16">
        <v>150</v>
      </c>
      <c r="AX36" s="15" t="s">
        <v>192</v>
      </c>
      <c r="AZ36" s="16" t="s">
        <v>373</v>
      </c>
      <c r="BB36" s="16">
        <v>3</v>
      </c>
      <c r="BV36" s="299" t="s">
        <v>904</v>
      </c>
      <c r="BW36" s="16">
        <v>3</v>
      </c>
    </row>
    <row r="37" spans="1:89" ht="32.1" customHeight="1" x14ac:dyDescent="0.3">
      <c r="A37" s="9"/>
      <c r="B37" s="316"/>
      <c r="C37" s="317"/>
      <c r="D37" s="317"/>
      <c r="E37" s="318"/>
      <c r="F37" s="316"/>
      <c r="G37" s="317"/>
      <c r="H37" s="317"/>
      <c r="I37" s="318"/>
      <c r="J37" s="56"/>
      <c r="K37" s="357"/>
      <c r="L37" s="375"/>
      <c r="M37" s="358"/>
      <c r="N37" s="354"/>
      <c r="O37" s="355"/>
      <c r="P37" s="56"/>
      <c r="Q37" s="411"/>
      <c r="R37" s="412"/>
      <c r="S37" s="354"/>
      <c r="T37" s="355"/>
      <c r="U37" s="354"/>
      <c r="V37" s="355"/>
      <c r="W37" s="56"/>
      <c r="X37" s="56"/>
      <c r="Y37" s="466"/>
      <c r="Z37" s="467"/>
      <c r="AA37" s="467"/>
      <c r="AB37" s="468"/>
      <c r="AC37" s="161"/>
      <c r="AD37" s="294" t="s">
        <v>951</v>
      </c>
      <c r="AE37" s="294">
        <v>75</v>
      </c>
      <c r="AF37" s="294" t="s">
        <v>952</v>
      </c>
      <c r="AG37" s="294" t="s">
        <v>108</v>
      </c>
      <c r="AH37" s="168" t="s">
        <v>246</v>
      </c>
      <c r="AI37" s="9"/>
      <c r="AP37" s="16">
        <v>12</v>
      </c>
      <c r="AR37" s="174" t="s">
        <v>354</v>
      </c>
      <c r="AS37" s="16" t="s">
        <v>181</v>
      </c>
      <c r="AT37" s="19" t="s">
        <v>186</v>
      </c>
      <c r="AU37" s="16" t="s">
        <v>835</v>
      </c>
      <c r="AV37" s="16" t="s">
        <v>815</v>
      </c>
      <c r="AW37" s="16">
        <v>195</v>
      </c>
      <c r="AX37" s="15" t="s">
        <v>193</v>
      </c>
      <c r="AZ37" s="16" t="s">
        <v>374</v>
      </c>
      <c r="BB37" s="16">
        <v>4</v>
      </c>
      <c r="BV37" s="299" t="s">
        <v>905</v>
      </c>
      <c r="BW37" s="16">
        <v>3</v>
      </c>
    </row>
    <row r="38" spans="1:89" ht="32.1" customHeight="1" x14ac:dyDescent="0.3">
      <c r="A38" s="9"/>
      <c r="B38" s="356" t="str">
        <f>IF(B29=AL27,AO20," ---- // ---- ")</f>
        <v xml:space="preserve"> ---- // ---- </v>
      </c>
      <c r="C38" s="356"/>
      <c r="D38" s="356"/>
      <c r="E38" s="356"/>
      <c r="F38" s="356" t="str" cm="1">
        <f t="array" ref="F38">IFERROR(_xlfn.IFS(B29=AL27,AO22,B29=AL26,AT22),"---//---")</f>
        <v>---//---</v>
      </c>
      <c r="G38" s="356"/>
      <c r="H38" s="356"/>
      <c r="I38" s="356"/>
      <c r="J38" s="56"/>
      <c r="K38" s="357"/>
      <c r="L38" s="375"/>
      <c r="M38" s="358"/>
      <c r="N38" s="354"/>
      <c r="O38" s="355"/>
      <c r="P38" s="56"/>
      <c r="Q38" s="411"/>
      <c r="R38" s="412"/>
      <c r="S38" s="354"/>
      <c r="T38" s="355"/>
      <c r="U38" s="354"/>
      <c r="V38" s="355"/>
      <c r="W38" s="56"/>
      <c r="X38" s="56"/>
      <c r="Y38" s="466"/>
      <c r="Z38" s="467"/>
      <c r="AA38" s="467"/>
      <c r="AB38" s="468"/>
      <c r="AC38" s="161"/>
      <c r="AD38" s="168" t="s">
        <v>955</v>
      </c>
      <c r="AE38" s="168">
        <v>76</v>
      </c>
      <c r="AF38" s="168" t="s">
        <v>954</v>
      </c>
      <c r="AG38" s="168" t="s">
        <v>108</v>
      </c>
      <c r="AH38" s="168" t="s">
        <v>246</v>
      </c>
      <c r="AI38" s="9"/>
      <c r="AR38" s="174" t="s">
        <v>357</v>
      </c>
      <c r="AS38" s="16" t="s">
        <v>181</v>
      </c>
      <c r="AT38" s="16" t="s">
        <v>183</v>
      </c>
      <c r="AU38" s="16" t="s">
        <v>820</v>
      </c>
      <c r="AV38" s="16" t="s">
        <v>816</v>
      </c>
      <c r="AW38" s="16">
        <v>195</v>
      </c>
      <c r="AX38" s="15" t="s">
        <v>194</v>
      </c>
      <c r="BB38" s="16">
        <v>5</v>
      </c>
      <c r="BV38" s="299" t="s">
        <v>906</v>
      </c>
      <c r="BW38" s="16">
        <v>6</v>
      </c>
    </row>
    <row r="39" spans="1:89" ht="32.1" customHeight="1" x14ac:dyDescent="0.3">
      <c r="A39" s="9"/>
      <c r="B39" s="377"/>
      <c r="C39" s="377"/>
      <c r="D39" s="377"/>
      <c r="E39" s="377"/>
      <c r="F39" s="377"/>
      <c r="G39" s="377"/>
      <c r="H39" s="377"/>
      <c r="I39" s="377"/>
      <c r="J39" s="56"/>
      <c r="K39" s="316"/>
      <c r="L39" s="317"/>
      <c r="M39" s="318"/>
      <c r="N39" s="354"/>
      <c r="O39" s="355"/>
      <c r="P39" s="56"/>
      <c r="Q39" s="413"/>
      <c r="R39" s="414"/>
      <c r="S39" s="349"/>
      <c r="T39" s="350"/>
      <c r="U39" s="349"/>
      <c r="V39" s="350"/>
      <c r="W39" s="56"/>
      <c r="X39" s="56"/>
      <c r="Y39" s="466"/>
      <c r="Z39" s="467"/>
      <c r="AA39" s="467"/>
      <c r="AB39" s="468"/>
      <c r="AC39" s="161"/>
      <c r="AD39" s="168" t="s">
        <v>959</v>
      </c>
      <c r="AE39" s="168">
        <v>60</v>
      </c>
      <c r="AF39" s="168" t="s">
        <v>960</v>
      </c>
      <c r="AG39" s="168" t="s">
        <v>108</v>
      </c>
      <c r="AH39" s="168" t="s">
        <v>246</v>
      </c>
      <c r="AI39" s="9"/>
      <c r="AR39" s="174" t="s">
        <v>352</v>
      </c>
      <c r="AS39" s="16" t="s">
        <v>181</v>
      </c>
      <c r="AT39" s="16" t="s">
        <v>184</v>
      </c>
      <c r="AU39" s="16" t="s">
        <v>830</v>
      </c>
      <c r="AV39" s="16" t="s">
        <v>430</v>
      </c>
      <c r="BB39" s="16">
        <v>6</v>
      </c>
      <c r="BV39" s="299" t="s">
        <v>907</v>
      </c>
      <c r="BW39" s="16">
        <v>6</v>
      </c>
    </row>
    <row r="40" spans="1:89" ht="32.1" customHeight="1" x14ac:dyDescent="0.3">
      <c r="A40" s="9"/>
      <c r="B40" s="378" t="s">
        <v>131</v>
      </c>
      <c r="C40" s="378"/>
      <c r="D40" s="378"/>
      <c r="E40" s="378"/>
      <c r="F40" s="378" t="s">
        <v>131</v>
      </c>
      <c r="G40" s="378"/>
      <c r="H40" s="378"/>
      <c r="I40" s="378"/>
      <c r="J40" s="56"/>
      <c r="K40" s="376" t="str">
        <f>IF(L34="ALTO","Firma","--- // ---")</f>
        <v>--- // ---</v>
      </c>
      <c r="L40" s="446"/>
      <c r="M40" s="447"/>
      <c r="N40" s="408"/>
      <c r="O40" s="408"/>
      <c r="P40" s="9"/>
      <c r="Q40" s="313" t="s">
        <v>704</v>
      </c>
      <c r="R40" s="315"/>
      <c r="S40" s="347"/>
      <c r="T40" s="348"/>
      <c r="U40" s="347"/>
      <c r="V40" s="348"/>
      <c r="W40" s="56"/>
      <c r="X40" s="56"/>
      <c r="Y40" s="466"/>
      <c r="Z40" s="467"/>
      <c r="AA40" s="467"/>
      <c r="AB40" s="468"/>
      <c r="AC40" s="161"/>
      <c r="AD40" s="161"/>
      <c r="AE40" s="161"/>
      <c r="AF40" s="161"/>
      <c r="AG40" s="161"/>
      <c r="AH40" s="161"/>
      <c r="AI40" s="9"/>
      <c r="AR40" s="174" t="s">
        <v>364</v>
      </c>
      <c r="AS40" s="109" t="s">
        <v>182</v>
      </c>
      <c r="AT40" s="16" t="s">
        <v>183</v>
      </c>
      <c r="AU40" s="16" t="s">
        <v>413</v>
      </c>
      <c r="AV40" s="16" t="s">
        <v>828</v>
      </c>
      <c r="AW40" s="16" t="s">
        <v>379</v>
      </c>
      <c r="AX40" s="164" t="s">
        <v>152</v>
      </c>
      <c r="AZ40" s="16" t="s">
        <v>379</v>
      </c>
      <c r="BB40" s="16">
        <v>7</v>
      </c>
      <c r="BV40" s="299" t="s">
        <v>908</v>
      </c>
      <c r="BW40" s="16">
        <v>3</v>
      </c>
    </row>
    <row r="41" spans="1:89" ht="32.1" customHeight="1" x14ac:dyDescent="0.3">
      <c r="A41" s="9"/>
      <c r="B41" s="378"/>
      <c r="C41" s="378"/>
      <c r="D41" s="378"/>
      <c r="E41" s="378"/>
      <c r="F41" s="378"/>
      <c r="G41" s="378"/>
      <c r="H41" s="378"/>
      <c r="I41" s="378"/>
      <c r="J41" s="56"/>
      <c r="K41" s="448"/>
      <c r="L41" s="449"/>
      <c r="M41" s="450"/>
      <c r="N41" s="408"/>
      <c r="O41" s="408"/>
      <c r="P41" s="9"/>
      <c r="Q41" s="357"/>
      <c r="R41" s="358"/>
      <c r="S41" s="354"/>
      <c r="T41" s="355"/>
      <c r="U41" s="354"/>
      <c r="V41" s="355"/>
      <c r="W41" s="56"/>
      <c r="X41" s="56"/>
      <c r="Y41" s="466"/>
      <c r="Z41" s="467"/>
      <c r="AA41" s="467"/>
      <c r="AB41" s="468"/>
      <c r="AC41" s="161"/>
      <c r="AD41" s="637"/>
      <c r="AE41" s="638"/>
      <c r="AF41" s="638"/>
      <c r="AG41" s="638"/>
      <c r="AH41" s="639"/>
      <c r="AI41" s="9"/>
      <c r="AR41" s="174" t="s">
        <v>342</v>
      </c>
      <c r="AS41" s="16" t="s">
        <v>182</v>
      </c>
      <c r="AT41" s="16" t="s">
        <v>186</v>
      </c>
      <c r="AU41" s="16" t="s">
        <v>413</v>
      </c>
      <c r="AV41" s="16" t="s">
        <v>813</v>
      </c>
      <c r="AW41" s="16">
        <v>241</v>
      </c>
      <c r="AX41" s="16" t="s">
        <v>219</v>
      </c>
      <c r="AZ41" s="16">
        <v>241</v>
      </c>
      <c r="BB41" s="16">
        <v>8</v>
      </c>
      <c r="BV41" s="299" t="s">
        <v>909</v>
      </c>
      <c r="BW41" s="16">
        <v>3</v>
      </c>
    </row>
    <row r="42" spans="1:89" ht="32.1" customHeight="1" x14ac:dyDescent="0.3">
      <c r="A42" s="9"/>
      <c r="B42" s="378"/>
      <c r="C42" s="378"/>
      <c r="D42" s="378"/>
      <c r="E42" s="378"/>
      <c r="F42" s="378"/>
      <c r="G42" s="378"/>
      <c r="H42" s="378"/>
      <c r="I42" s="378"/>
      <c r="J42" s="57"/>
      <c r="K42" s="448"/>
      <c r="L42" s="449"/>
      <c r="M42" s="450"/>
      <c r="N42" s="408"/>
      <c r="O42" s="408"/>
      <c r="P42" s="9"/>
      <c r="Q42" s="357"/>
      <c r="R42" s="358"/>
      <c r="S42" s="354"/>
      <c r="T42" s="355"/>
      <c r="U42" s="354"/>
      <c r="V42" s="355"/>
      <c r="W42" s="57"/>
      <c r="X42" s="57"/>
      <c r="Y42" s="466"/>
      <c r="Z42" s="467"/>
      <c r="AA42" s="467"/>
      <c r="AB42" s="468"/>
      <c r="AC42" s="161"/>
      <c r="AD42" s="640"/>
      <c r="AE42" s="641"/>
      <c r="AF42" s="641"/>
      <c r="AG42" s="641"/>
      <c r="AH42" s="642"/>
      <c r="AI42" s="9"/>
      <c r="AR42" s="174" t="s">
        <v>343</v>
      </c>
      <c r="AS42" s="16" t="s">
        <v>181</v>
      </c>
      <c r="AT42" s="16" t="s">
        <v>186</v>
      </c>
      <c r="AU42" s="16" t="s">
        <v>413</v>
      </c>
      <c r="AV42" s="16" t="s">
        <v>831</v>
      </c>
      <c r="AW42" s="16">
        <v>241</v>
      </c>
      <c r="AX42" s="16" t="s">
        <v>220</v>
      </c>
      <c r="AZ42" s="16" t="s">
        <v>378</v>
      </c>
      <c r="BB42" s="16">
        <v>9</v>
      </c>
      <c r="BV42" s="299" t="s">
        <v>910</v>
      </c>
      <c r="BW42" s="16">
        <v>3</v>
      </c>
    </row>
    <row r="43" spans="1:89" ht="32.1" customHeight="1" x14ac:dyDescent="0.3">
      <c r="A43" s="9"/>
      <c r="B43" s="378"/>
      <c r="C43" s="378"/>
      <c r="D43" s="378"/>
      <c r="E43" s="378"/>
      <c r="F43" s="378"/>
      <c r="G43" s="378"/>
      <c r="H43" s="378"/>
      <c r="I43" s="378"/>
      <c r="J43" s="57"/>
      <c r="K43" s="451"/>
      <c r="L43" s="452"/>
      <c r="M43" s="453"/>
      <c r="N43" s="408"/>
      <c r="O43" s="408"/>
      <c r="P43" s="9"/>
      <c r="Q43" s="316"/>
      <c r="R43" s="318"/>
      <c r="S43" s="349"/>
      <c r="T43" s="350"/>
      <c r="U43" s="349"/>
      <c r="V43" s="350"/>
      <c r="W43" s="57"/>
      <c r="X43" s="57"/>
      <c r="Y43" s="469"/>
      <c r="Z43" s="470"/>
      <c r="AA43" s="470"/>
      <c r="AB43" s="471"/>
      <c r="AC43" s="161"/>
      <c r="AD43" s="640"/>
      <c r="AE43" s="641"/>
      <c r="AF43" s="641"/>
      <c r="AG43" s="641"/>
      <c r="AH43" s="642"/>
      <c r="AI43" s="9"/>
      <c r="AR43" s="104" t="s">
        <v>385</v>
      </c>
      <c r="AS43" s="16" t="s">
        <v>182</v>
      </c>
      <c r="AT43" s="16" t="s">
        <v>183</v>
      </c>
      <c r="AU43" s="16" t="s">
        <v>430</v>
      </c>
      <c r="AV43" s="16" t="s">
        <v>429</v>
      </c>
      <c r="AW43" s="16">
        <v>181</v>
      </c>
      <c r="AX43" s="16" t="s">
        <v>221</v>
      </c>
      <c r="AZ43" s="16" t="s">
        <v>377</v>
      </c>
      <c r="BB43" s="16">
        <v>10</v>
      </c>
      <c r="BV43" s="296" t="s">
        <v>912</v>
      </c>
      <c r="BW43" s="16">
        <v>3</v>
      </c>
    </row>
    <row r="44" spans="1:89" ht="32.1" customHeight="1" x14ac:dyDescent="0.3">
      <c r="A44" s="9"/>
      <c r="B44" s="445" t="str">
        <f>AE9</f>
        <v>Jairo Gomez</v>
      </c>
      <c r="C44" s="445"/>
      <c r="D44" s="445"/>
      <c r="E44" s="445"/>
      <c r="F44" s="445">
        <f>AE10</f>
        <v>0</v>
      </c>
      <c r="G44" s="445"/>
      <c r="H44" s="445"/>
      <c r="I44" s="445"/>
      <c r="J44" s="52"/>
      <c r="K44" s="445" t="str">
        <f>IF(L34="ALTO","Oscar Julián Sanchez Velandia","--- // ---")</f>
        <v>--- // ---</v>
      </c>
      <c r="L44" s="445"/>
      <c r="M44" s="445"/>
      <c r="N44" s="369"/>
      <c r="O44" s="369"/>
      <c r="P44" s="52"/>
      <c r="Q44" s="455" t="s">
        <v>125</v>
      </c>
      <c r="R44" s="456"/>
      <c r="S44" s="347"/>
      <c r="T44" s="348"/>
      <c r="U44" s="347"/>
      <c r="V44" s="348"/>
      <c r="W44" s="52"/>
      <c r="X44" s="52"/>
      <c r="Y44" s="175" t="s">
        <v>398</v>
      </c>
      <c r="Z44" s="136"/>
      <c r="AA44" s="175" t="s">
        <v>400</v>
      </c>
      <c r="AB44" s="136"/>
      <c r="AC44" s="161"/>
      <c r="AD44" s="640"/>
      <c r="AE44" s="641"/>
      <c r="AF44" s="641"/>
      <c r="AG44" s="641"/>
      <c r="AH44" s="642"/>
      <c r="AI44" s="9"/>
      <c r="AR44" s="174" t="s">
        <v>346</v>
      </c>
      <c r="AS44" s="16" t="s">
        <v>181</v>
      </c>
      <c r="AT44" s="16" t="s">
        <v>186</v>
      </c>
      <c r="AU44" s="16" t="s">
        <v>430</v>
      </c>
      <c r="AV44" s="16" t="s">
        <v>828</v>
      </c>
      <c r="AW44" s="16">
        <v>121</v>
      </c>
      <c r="AX44" s="16" t="s">
        <v>222</v>
      </c>
      <c r="AZ44" s="16" t="s">
        <v>376</v>
      </c>
      <c r="BB44" s="16">
        <v>11</v>
      </c>
      <c r="BV44" s="296" t="s">
        <v>914</v>
      </c>
      <c r="BW44" s="16">
        <v>3</v>
      </c>
    </row>
    <row r="45" spans="1:89" ht="32.1" customHeight="1" x14ac:dyDescent="0.3">
      <c r="A45" s="9"/>
      <c r="B45" s="368" t="str">
        <f>AF9</f>
        <v>IVA 2459</v>
      </c>
      <c r="C45" s="368"/>
      <c r="D45" s="368"/>
      <c r="E45" s="368"/>
      <c r="F45" s="368">
        <f>AF10</f>
        <v>0</v>
      </c>
      <c r="G45" s="368"/>
      <c r="H45" s="368"/>
      <c r="I45" s="368"/>
      <c r="J45" s="176"/>
      <c r="K45" s="368" t="str">
        <f>IF(L34="ALTO","Responsable de Instrucción Vuelo","--- // ---")</f>
        <v>--- // ---</v>
      </c>
      <c r="L45" s="368"/>
      <c r="M45" s="368"/>
      <c r="N45" s="408"/>
      <c r="O45" s="342"/>
      <c r="P45" s="58"/>
      <c r="Q45" s="454" t="s">
        <v>116</v>
      </c>
      <c r="R45" s="454"/>
      <c r="S45" s="342"/>
      <c r="T45" s="343"/>
      <c r="U45" s="342"/>
      <c r="V45" s="481"/>
      <c r="W45" s="58"/>
      <c r="X45" s="58"/>
      <c r="Y45" s="35" t="s">
        <v>404</v>
      </c>
      <c r="Z45" s="103"/>
      <c r="AA45" s="35" t="s">
        <v>405</v>
      </c>
      <c r="AB45" s="103"/>
      <c r="AC45" s="161"/>
      <c r="AD45" s="643"/>
      <c r="AE45" s="644"/>
      <c r="AF45" s="644"/>
      <c r="AG45" s="644"/>
      <c r="AH45" s="645"/>
      <c r="AI45" s="9"/>
      <c r="AR45" s="174" t="s">
        <v>345</v>
      </c>
      <c r="AS45" s="16" t="s">
        <v>181</v>
      </c>
      <c r="AT45" s="16" t="s">
        <v>183</v>
      </c>
      <c r="AU45" s="16" t="s">
        <v>430</v>
      </c>
      <c r="AV45" s="16" t="s">
        <v>835</v>
      </c>
      <c r="AW45" s="16">
        <v>60</v>
      </c>
      <c r="AX45" s="16" t="s">
        <v>190</v>
      </c>
      <c r="AZ45" s="16">
        <v>60</v>
      </c>
      <c r="BB45" s="16">
        <v>12</v>
      </c>
      <c r="BV45" s="296" t="s">
        <v>884</v>
      </c>
      <c r="BW45" s="16">
        <v>3</v>
      </c>
    </row>
    <row r="46" spans="1:89" ht="20.100000000000001" customHeight="1" x14ac:dyDescent="0.3">
      <c r="A46" s="9"/>
      <c r="B46" s="52"/>
      <c r="C46" s="52"/>
      <c r="D46" s="52"/>
      <c r="E46" s="52"/>
      <c r="F46" s="52"/>
      <c r="G46" s="52"/>
      <c r="H46" s="52"/>
      <c r="I46" s="52"/>
      <c r="J46" s="52"/>
      <c r="K46" s="52"/>
      <c r="L46" s="52"/>
      <c r="M46" s="52"/>
      <c r="N46" s="10"/>
      <c r="O46" s="10"/>
      <c r="P46" s="52"/>
      <c r="Q46" s="177"/>
      <c r="R46" s="177"/>
      <c r="S46" s="10"/>
      <c r="T46" s="10"/>
      <c r="U46" s="10"/>
      <c r="V46" s="10"/>
      <c r="W46" s="52"/>
      <c r="X46" s="52"/>
      <c r="Y46" s="53"/>
      <c r="Z46" s="56"/>
      <c r="AA46" s="53"/>
      <c r="AB46" s="56"/>
      <c r="AC46" s="161"/>
      <c r="AD46" s="10"/>
      <c r="AE46" s="10"/>
      <c r="AF46" s="10"/>
      <c r="AG46" s="10"/>
      <c r="AH46" s="10"/>
      <c r="AI46" s="9"/>
      <c r="AR46" s="104" t="s">
        <v>391</v>
      </c>
      <c r="AS46" s="16" t="s">
        <v>182</v>
      </c>
      <c r="AT46" s="16" t="s">
        <v>183</v>
      </c>
      <c r="AU46" s="16" t="s">
        <v>430</v>
      </c>
      <c r="AV46" s="16" t="s">
        <v>831</v>
      </c>
      <c r="AW46" s="16"/>
      <c r="AX46" s="16"/>
      <c r="AZ46" s="12"/>
      <c r="BB46" s="16">
        <v>13</v>
      </c>
      <c r="BV46" s="296" t="s">
        <v>916</v>
      </c>
      <c r="BW46" s="16">
        <v>3</v>
      </c>
    </row>
    <row r="47" spans="1:89" ht="30" customHeight="1" x14ac:dyDescent="0.3">
      <c r="A47" s="9"/>
      <c r="B47" s="323"/>
      <c r="C47" s="324"/>
      <c r="D47" s="329" t="s">
        <v>0</v>
      </c>
      <c r="E47" s="330"/>
      <c r="F47" s="330"/>
      <c r="G47" s="330"/>
      <c r="H47" s="330"/>
      <c r="I47" s="330"/>
      <c r="J47" s="330"/>
      <c r="K47" s="330"/>
      <c r="L47" s="330"/>
      <c r="M47" s="330"/>
      <c r="N47" s="330"/>
      <c r="O47" s="330"/>
      <c r="P47" s="330"/>
      <c r="Q47" s="330"/>
      <c r="R47" s="330"/>
      <c r="S47" s="330"/>
      <c r="T47" s="330"/>
      <c r="U47" s="330"/>
      <c r="V47" s="330"/>
      <c r="W47" s="330"/>
      <c r="X47" s="330"/>
      <c r="Y47" s="330"/>
      <c r="Z47" s="330"/>
      <c r="AA47" s="331"/>
      <c r="AB47" s="290" t="s">
        <v>864</v>
      </c>
      <c r="AD47" s="472" t="s">
        <v>706</v>
      </c>
      <c r="AE47" s="473"/>
      <c r="AF47" s="473"/>
      <c r="AG47" s="473"/>
      <c r="AH47" s="474"/>
      <c r="AI47" s="9"/>
      <c r="AR47" s="104" t="s">
        <v>386</v>
      </c>
      <c r="AS47" s="16" t="s">
        <v>182</v>
      </c>
      <c r="AT47" s="16" t="s">
        <v>183</v>
      </c>
      <c r="AU47" s="16" t="s">
        <v>429</v>
      </c>
      <c r="AV47" s="16" t="s">
        <v>430</v>
      </c>
      <c r="AW47" s="16">
        <v>1</v>
      </c>
      <c r="AX47" s="16" t="s">
        <v>380</v>
      </c>
      <c r="BB47" s="16">
        <v>14</v>
      </c>
      <c r="BV47" s="296" t="s">
        <v>918</v>
      </c>
      <c r="BW47" s="16">
        <v>3</v>
      </c>
    </row>
    <row r="48" spans="1:89" s="12" customFormat="1" ht="30" customHeight="1" x14ac:dyDescent="0.3">
      <c r="A48" s="9"/>
      <c r="B48" s="325"/>
      <c r="C48" s="326"/>
      <c r="D48" s="332" t="s">
        <v>403</v>
      </c>
      <c r="E48" s="333"/>
      <c r="F48" s="333"/>
      <c r="G48" s="333"/>
      <c r="H48" s="333"/>
      <c r="I48" s="333"/>
      <c r="J48" s="333"/>
      <c r="K48" s="333"/>
      <c r="L48" s="333"/>
      <c r="M48" s="333"/>
      <c r="N48" s="333"/>
      <c r="O48" s="333"/>
      <c r="P48" s="333"/>
      <c r="Q48" s="333"/>
      <c r="R48" s="333"/>
      <c r="S48" s="333"/>
      <c r="T48" s="333"/>
      <c r="U48" s="333"/>
      <c r="V48" s="333"/>
      <c r="W48" s="333"/>
      <c r="X48" s="333"/>
      <c r="Y48" s="333"/>
      <c r="Z48" s="333"/>
      <c r="AA48" s="334"/>
      <c r="AB48" s="291" t="s">
        <v>549</v>
      </c>
      <c r="AC48" s="9"/>
      <c r="AD48" s="475"/>
      <c r="AE48" s="476"/>
      <c r="AF48" s="476"/>
      <c r="AG48" s="476"/>
      <c r="AH48" s="477"/>
      <c r="AI48" s="9"/>
      <c r="AP48" s="13"/>
      <c r="AQ48" s="13"/>
      <c r="AR48" s="174" t="s">
        <v>365</v>
      </c>
      <c r="AS48" s="16" t="s">
        <v>181</v>
      </c>
      <c r="AT48" s="16" t="s">
        <v>183</v>
      </c>
      <c r="AU48" s="16" t="s">
        <v>429</v>
      </c>
      <c r="AV48" s="16" t="s">
        <v>828</v>
      </c>
      <c r="AW48" s="13"/>
      <c r="AX48" s="13"/>
      <c r="AY48" s="13"/>
      <c r="AZ48" s="13"/>
      <c r="BA48" s="13"/>
      <c r="BB48" s="16">
        <v>15</v>
      </c>
      <c r="BD48" s="13"/>
      <c r="BE48" s="13"/>
      <c r="BF48" s="13"/>
      <c r="BG48" s="13"/>
      <c r="BI48" s="13"/>
      <c r="BK48" s="13"/>
      <c r="BM48" s="13"/>
      <c r="BO48" s="13"/>
      <c r="BQ48" s="13"/>
      <c r="BS48" s="13"/>
      <c r="BT48" s="13"/>
      <c r="BU48" s="13"/>
      <c r="BV48" s="296" t="s">
        <v>890</v>
      </c>
      <c r="BW48" s="16">
        <v>3</v>
      </c>
      <c r="CA48" s="13"/>
      <c r="CC48" s="13"/>
      <c r="CE48" s="13"/>
      <c r="CG48" s="13"/>
      <c r="CI48" s="13"/>
      <c r="CK48" s="13"/>
    </row>
    <row r="49" spans="1:89" ht="30" customHeight="1" x14ac:dyDescent="0.3">
      <c r="A49" s="9"/>
      <c r="B49" s="325"/>
      <c r="C49" s="326"/>
      <c r="D49" s="335" t="s">
        <v>862</v>
      </c>
      <c r="E49" s="335"/>
      <c r="F49" s="335"/>
      <c r="G49" s="335"/>
      <c r="H49" s="335"/>
      <c r="I49" s="335"/>
      <c r="J49" s="335"/>
      <c r="K49" s="335"/>
      <c r="L49" s="335"/>
      <c r="M49" s="335"/>
      <c r="N49" s="335"/>
      <c r="O49" s="335"/>
      <c r="P49" s="335"/>
      <c r="Q49" s="335"/>
      <c r="R49" s="335"/>
      <c r="S49" s="335"/>
      <c r="T49" s="335"/>
      <c r="U49" s="335"/>
      <c r="V49" s="335"/>
      <c r="W49" s="335"/>
      <c r="X49" s="335"/>
      <c r="Y49" s="335"/>
      <c r="Z49" s="335"/>
      <c r="AA49" s="335"/>
      <c r="AB49" s="292" t="s">
        <v>947</v>
      </c>
      <c r="AD49" s="475"/>
      <c r="AE49" s="476"/>
      <c r="AF49" s="476"/>
      <c r="AG49" s="476"/>
      <c r="AH49" s="477"/>
      <c r="AI49" s="9"/>
      <c r="AR49" s="174" t="s">
        <v>347</v>
      </c>
      <c r="AS49" s="16" t="s">
        <v>181</v>
      </c>
      <c r="AT49" s="16" t="s">
        <v>184</v>
      </c>
      <c r="AU49" s="16" t="s">
        <v>429</v>
      </c>
      <c r="AV49" s="16" t="s">
        <v>817</v>
      </c>
      <c r="BB49" s="16">
        <v>16</v>
      </c>
      <c r="BV49" s="296" t="s">
        <v>920</v>
      </c>
      <c r="BW49" s="16">
        <v>3</v>
      </c>
      <c r="BZ49" s="12"/>
    </row>
    <row r="50" spans="1:89" s="12" customFormat="1" ht="30" customHeight="1" x14ac:dyDescent="0.3">
      <c r="A50" s="9"/>
      <c r="B50" s="327"/>
      <c r="C50" s="328"/>
      <c r="D50" s="336"/>
      <c r="E50" s="336"/>
      <c r="F50" s="336"/>
      <c r="G50" s="336"/>
      <c r="H50" s="336"/>
      <c r="I50" s="336"/>
      <c r="J50" s="336"/>
      <c r="K50" s="336"/>
      <c r="L50" s="336"/>
      <c r="M50" s="336"/>
      <c r="N50" s="336"/>
      <c r="O50" s="336"/>
      <c r="P50" s="336"/>
      <c r="Q50" s="336"/>
      <c r="R50" s="336"/>
      <c r="S50" s="336"/>
      <c r="T50" s="336"/>
      <c r="U50" s="336"/>
      <c r="V50" s="336"/>
      <c r="W50" s="336"/>
      <c r="X50" s="336"/>
      <c r="Y50" s="336"/>
      <c r="Z50" s="336"/>
      <c r="AA50" s="336"/>
      <c r="AB50" s="293" t="s">
        <v>948</v>
      </c>
      <c r="AC50" s="9"/>
      <c r="AD50" s="478"/>
      <c r="AE50" s="479"/>
      <c r="AF50" s="479"/>
      <c r="AG50" s="479"/>
      <c r="AH50" s="480"/>
      <c r="AI50" s="9"/>
      <c r="AP50" s="13"/>
      <c r="AQ50" s="13"/>
      <c r="AR50" s="174" t="s">
        <v>349</v>
      </c>
      <c r="AS50" s="16" t="s">
        <v>181</v>
      </c>
      <c r="AT50" s="16" t="s">
        <v>183</v>
      </c>
      <c r="AU50" s="16" t="s">
        <v>429</v>
      </c>
      <c r="AV50" s="16" t="s">
        <v>836</v>
      </c>
      <c r="AW50" s="13"/>
      <c r="AX50" s="13"/>
      <c r="AY50" s="13"/>
      <c r="AZ50" s="13"/>
      <c r="BA50" s="13"/>
      <c r="BB50" s="16">
        <v>17</v>
      </c>
      <c r="BD50" s="13"/>
      <c r="BE50" s="13"/>
      <c r="BF50" s="13"/>
      <c r="BG50" s="13"/>
      <c r="BI50" s="13"/>
      <c r="BK50" s="13"/>
      <c r="BM50" s="13"/>
      <c r="BO50" s="13"/>
      <c r="BQ50" s="13"/>
      <c r="BS50" s="13"/>
      <c r="BT50" s="13"/>
      <c r="BU50" s="13"/>
      <c r="BV50" s="296" t="s">
        <v>893</v>
      </c>
      <c r="BW50" s="16">
        <v>3</v>
      </c>
      <c r="CA50" s="13"/>
      <c r="CC50" s="13"/>
      <c r="CE50" s="13"/>
      <c r="CG50" s="13"/>
      <c r="CI50" s="13"/>
      <c r="CK50" s="13"/>
    </row>
    <row r="51" spans="1:89" s="12" customFormat="1" ht="21.9" customHeight="1" x14ac:dyDescent="0.3">
      <c r="A51" s="9"/>
      <c r="B51" s="444"/>
      <c r="C51" s="444"/>
      <c r="D51" s="444"/>
      <c r="E51" s="444"/>
      <c r="F51" s="444"/>
      <c r="G51" s="444"/>
      <c r="H51" s="444"/>
      <c r="I51" s="444"/>
      <c r="J51" s="444"/>
      <c r="K51" s="444"/>
      <c r="L51" s="444"/>
      <c r="M51" s="444"/>
      <c r="N51" s="444"/>
      <c r="O51" s="444"/>
      <c r="P51" s="444"/>
      <c r="Q51" s="444"/>
      <c r="R51" s="444"/>
      <c r="S51" s="444"/>
      <c r="T51" s="444"/>
      <c r="U51" s="444"/>
      <c r="V51" s="444"/>
      <c r="W51" s="444"/>
      <c r="X51" s="444"/>
      <c r="Y51" s="444"/>
      <c r="Z51" s="444"/>
      <c r="AA51" s="444"/>
      <c r="AB51" s="444"/>
      <c r="AC51" s="9"/>
      <c r="AD51" s="9"/>
      <c r="AE51" s="9"/>
      <c r="AF51" s="9"/>
      <c r="AG51" s="9"/>
      <c r="AH51" s="9"/>
      <c r="AI51" s="9"/>
      <c r="AP51" s="13"/>
      <c r="AQ51" s="13"/>
      <c r="AR51" s="174" t="s">
        <v>350</v>
      </c>
      <c r="AS51" s="16" t="s">
        <v>182</v>
      </c>
      <c r="AT51" s="16" t="s">
        <v>370</v>
      </c>
      <c r="AU51" s="16" t="s">
        <v>427</v>
      </c>
      <c r="AV51" s="16" t="s">
        <v>430</v>
      </c>
      <c r="AW51" s="13"/>
      <c r="AX51" s="13"/>
      <c r="AY51" s="13"/>
      <c r="AZ51" s="13"/>
      <c r="BA51" s="13"/>
      <c r="BB51" s="16">
        <v>18</v>
      </c>
      <c r="BD51" s="13"/>
      <c r="BE51" s="13"/>
      <c r="BF51" s="13"/>
      <c r="BG51" s="13"/>
      <c r="BI51" s="13"/>
      <c r="BK51" s="13"/>
      <c r="BM51" s="13"/>
      <c r="BO51" s="13"/>
      <c r="BQ51" s="13"/>
      <c r="BS51" s="13"/>
      <c r="BT51" s="13"/>
      <c r="BU51" s="13"/>
      <c r="BV51" s="297" t="s">
        <v>921</v>
      </c>
      <c r="BW51" s="16">
        <v>3</v>
      </c>
      <c r="CA51" s="13"/>
      <c r="CC51" s="13"/>
      <c r="CE51" s="13"/>
      <c r="CG51" s="13"/>
      <c r="CI51" s="13"/>
      <c r="CK51" s="13"/>
    </row>
    <row r="52" spans="1:89" s="12" customFormat="1" ht="38.1" customHeight="1" x14ac:dyDescent="0.3">
      <c r="A52" s="9"/>
      <c r="B52" s="338" t="s">
        <v>494</v>
      </c>
      <c r="C52" s="338"/>
      <c r="D52" s="338"/>
      <c r="E52" s="338"/>
      <c r="F52" s="338"/>
      <c r="G52" s="338"/>
      <c r="H52" s="338"/>
      <c r="I52" s="338"/>
      <c r="J52" s="338"/>
      <c r="K52" s="338"/>
      <c r="L52" s="338"/>
      <c r="M52" s="338"/>
      <c r="N52" s="338"/>
      <c r="O52" s="338"/>
      <c r="P52" s="338"/>
      <c r="Q52" s="338"/>
      <c r="R52" s="338"/>
      <c r="S52" s="338"/>
      <c r="T52" s="338"/>
      <c r="U52" s="338"/>
      <c r="V52" s="338"/>
      <c r="W52" s="338"/>
      <c r="X52" s="338"/>
      <c r="Y52" s="338"/>
      <c r="Z52" s="338"/>
      <c r="AA52" s="338"/>
      <c r="AB52" s="338"/>
      <c r="AC52" s="9"/>
      <c r="AD52" s="359" t="s">
        <v>705</v>
      </c>
      <c r="AE52" s="437"/>
      <c r="AF52" s="437"/>
      <c r="AG52" s="437"/>
      <c r="AH52" s="360"/>
      <c r="AI52" s="9"/>
      <c r="AP52" s="13"/>
      <c r="AQ52" s="13"/>
      <c r="AR52" s="174" t="s">
        <v>351</v>
      </c>
      <c r="AS52" s="16" t="s">
        <v>181</v>
      </c>
      <c r="AT52" s="16" t="s">
        <v>184</v>
      </c>
      <c r="AU52" s="16" t="s">
        <v>828</v>
      </c>
      <c r="AV52" s="16" t="s">
        <v>830</v>
      </c>
      <c r="AW52" s="13"/>
      <c r="AX52" s="13"/>
      <c r="AY52" s="13"/>
      <c r="AZ52" s="13"/>
      <c r="BA52" s="13"/>
      <c r="BB52" s="16">
        <v>19</v>
      </c>
      <c r="BD52" s="13"/>
      <c r="BE52" s="13"/>
      <c r="BF52" s="13"/>
      <c r="BG52" s="13"/>
      <c r="BI52" s="13"/>
      <c r="BK52" s="13"/>
      <c r="BM52" s="13"/>
      <c r="BO52" s="13"/>
      <c r="BQ52" s="13"/>
      <c r="BS52" s="13"/>
      <c r="BT52" s="13"/>
      <c r="BU52" s="13"/>
      <c r="BV52" s="297" t="s">
        <v>922</v>
      </c>
      <c r="BW52" s="16">
        <v>3</v>
      </c>
      <c r="CA52" s="13"/>
      <c r="CC52" s="13"/>
      <c r="CE52" s="13"/>
      <c r="CG52" s="13"/>
      <c r="CI52" s="13"/>
      <c r="CK52" s="13"/>
    </row>
    <row r="53" spans="1:89" s="12" customFormat="1" ht="41.1" customHeight="1" x14ac:dyDescent="0.3">
      <c r="A53" s="9"/>
      <c r="B53" s="178"/>
      <c r="C53" s="179" t="s">
        <v>414</v>
      </c>
      <c r="D53" s="339" t="s">
        <v>496</v>
      </c>
      <c r="E53" s="339"/>
      <c r="F53" s="339" t="s">
        <v>497</v>
      </c>
      <c r="G53" s="339"/>
      <c r="H53" s="339" t="s">
        <v>517</v>
      </c>
      <c r="I53" s="339"/>
      <c r="J53" s="339"/>
      <c r="K53" s="339"/>
      <c r="L53" s="339"/>
      <c r="M53" s="339"/>
      <c r="N53" s="339"/>
      <c r="O53" s="339"/>
      <c r="P53" s="339"/>
      <c r="Q53" s="339"/>
      <c r="R53" s="339"/>
      <c r="S53" s="339"/>
      <c r="T53" s="339"/>
      <c r="U53" s="339"/>
      <c r="V53" s="339"/>
      <c r="W53" s="339"/>
      <c r="X53" s="339"/>
      <c r="Y53" s="339"/>
      <c r="Z53" s="339" t="s">
        <v>513</v>
      </c>
      <c r="AA53" s="339"/>
      <c r="AB53" s="339"/>
      <c r="AC53" s="9"/>
      <c r="AD53" s="441" t="s">
        <v>708</v>
      </c>
      <c r="AE53" s="442"/>
      <c r="AF53" s="442"/>
      <c r="AG53" s="442"/>
      <c r="AH53" s="443"/>
      <c r="AI53" s="9"/>
      <c r="AP53" s="13"/>
      <c r="AQ53" s="13"/>
      <c r="AR53" s="174" t="s">
        <v>363</v>
      </c>
      <c r="AS53" s="16" t="s">
        <v>181</v>
      </c>
      <c r="AT53" s="16" t="s">
        <v>186</v>
      </c>
      <c r="AU53" s="16" t="s">
        <v>828</v>
      </c>
      <c r="AV53" s="16" t="s">
        <v>12</v>
      </c>
      <c r="AW53" s="13"/>
      <c r="AX53" s="13"/>
      <c r="AY53" s="13"/>
      <c r="AZ53" s="13"/>
      <c r="BA53" s="13"/>
      <c r="BB53" s="16">
        <v>20</v>
      </c>
      <c r="BD53" s="13"/>
      <c r="BE53" s="13"/>
      <c r="BF53" s="13"/>
      <c r="BG53" s="13"/>
      <c r="BI53" s="13"/>
      <c r="BK53" s="13"/>
      <c r="BM53" s="13"/>
      <c r="BO53" s="13"/>
      <c r="BQ53" s="13"/>
      <c r="BS53" s="13"/>
      <c r="BT53" s="13"/>
      <c r="BU53" s="13"/>
      <c r="BV53" s="297" t="s">
        <v>884</v>
      </c>
      <c r="BW53" s="16">
        <v>3</v>
      </c>
      <c r="BY53" s="13"/>
      <c r="CA53" s="13"/>
      <c r="CC53" s="13"/>
      <c r="CE53" s="13"/>
      <c r="CG53" s="13"/>
      <c r="CI53" s="13"/>
      <c r="CK53" s="13"/>
    </row>
    <row r="54" spans="1:89" s="12" customFormat="1" ht="39.9" customHeight="1" x14ac:dyDescent="0.3">
      <c r="A54" s="9"/>
      <c r="B54" s="311" t="str">
        <f>Q19</f>
        <v>⦿</v>
      </c>
      <c r="C54" s="180" t="s">
        <v>406</v>
      </c>
      <c r="D54" s="181" t="str">
        <f>IFERROR(VLOOKUP(AW54,PREVAC!$AI$3:AQ230,4,FALSE),"¿?")</f>
        <v>¿?</v>
      </c>
      <c r="E54" s="181" t="str">
        <f>IFERROR(VLOOKUP(AW54,PREVAC!$AI$3:AQ230,5,FALSE),"¿?")</f>
        <v>¿?</v>
      </c>
      <c r="F54" s="307" t="str">
        <f>IFERROR(VLOOKUP(AW54,PREVAC!$AI$3:AQ230,6,FALSE),"¿?")</f>
        <v>¿?</v>
      </c>
      <c r="G54" s="307"/>
      <c r="H54" s="308" t="str">
        <f>IFERROR(VLOOKUP(AW54,PREVAC!$AI$3:AQ230,7,FALSE),"¿?")</f>
        <v>¿?</v>
      </c>
      <c r="I54" s="308"/>
      <c r="J54" s="308"/>
      <c r="K54" s="308"/>
      <c r="L54" s="308"/>
      <c r="M54" s="308" t="str">
        <f>IFERROR(VLOOKUP(AW54,PREVAC!$AI$3:AQ230,8,FALSE),"¿?")</f>
        <v>¿?</v>
      </c>
      <c r="N54" s="308"/>
      <c r="O54" s="308"/>
      <c r="P54" s="308"/>
      <c r="Q54" s="308"/>
      <c r="R54" s="308"/>
      <c r="S54" s="308"/>
      <c r="T54" s="308"/>
      <c r="U54" s="308"/>
      <c r="V54" s="308"/>
      <c r="W54" s="308"/>
      <c r="X54" s="308"/>
      <c r="Y54" s="308"/>
      <c r="Z54" s="308" t="str">
        <f>IFERROR(VLOOKUP(AW54,PREVAC!$AI$3:AQ230,9,FALSE),"¿?")</f>
        <v>¿?</v>
      </c>
      <c r="AA54" s="308"/>
      <c r="AB54" s="308"/>
      <c r="AC54" s="10"/>
      <c r="AD54" s="419" t="s">
        <v>716</v>
      </c>
      <c r="AE54" s="420"/>
      <c r="AF54" s="420"/>
      <c r="AG54" s="420"/>
      <c r="AH54" s="421"/>
      <c r="AI54" s="9"/>
      <c r="AP54" s="13"/>
      <c r="AQ54" s="13"/>
      <c r="AR54" s="104" t="s">
        <v>389</v>
      </c>
      <c r="AS54" s="16" t="s">
        <v>181</v>
      </c>
      <c r="AT54" s="16" t="s">
        <v>183</v>
      </c>
      <c r="AU54" s="16" t="s">
        <v>817</v>
      </c>
      <c r="AV54" s="16" t="s">
        <v>429</v>
      </c>
      <c r="AW54" s="182" t="str">
        <f t="shared" ref="AW54:AW60" si="2">CONCATENATE($B$56,"-",C54)</f>
        <v>Origen-MACA</v>
      </c>
      <c r="AX54" s="13"/>
      <c r="AY54" s="13"/>
      <c r="AZ54" s="13"/>
      <c r="BA54" s="13"/>
      <c r="BB54" s="16">
        <v>21</v>
      </c>
      <c r="BD54" s="13"/>
      <c r="BE54" s="13"/>
      <c r="BF54" s="13"/>
      <c r="BG54" s="13"/>
      <c r="BI54" s="13"/>
      <c r="BK54" s="13"/>
      <c r="BM54" s="13"/>
      <c r="BO54" s="13"/>
      <c r="BQ54" s="13"/>
      <c r="BS54" s="13"/>
      <c r="BT54" s="13"/>
      <c r="BU54" s="13"/>
      <c r="BV54" s="297" t="s">
        <v>923</v>
      </c>
      <c r="BW54" s="16">
        <v>3</v>
      </c>
      <c r="BY54" s="13"/>
      <c r="CA54" s="13"/>
      <c r="CC54" s="13"/>
      <c r="CE54" s="13"/>
      <c r="CG54" s="13"/>
      <c r="CI54" s="13"/>
      <c r="CK54" s="13"/>
    </row>
    <row r="55" spans="1:89" s="12" customFormat="1" ht="39.9" customHeight="1" x14ac:dyDescent="0.3">
      <c r="A55" s="9"/>
      <c r="B55" s="312"/>
      <c r="C55" s="180" t="s">
        <v>407</v>
      </c>
      <c r="D55" s="181" t="str">
        <f>IFERROR(VLOOKUP(AW55,PREVAC!$AI$3:AQ231,4,FALSE),"¿?")</f>
        <v>¿?</v>
      </c>
      <c r="E55" s="181" t="str">
        <f>IFERROR(VLOOKUP(AW55,PREVAC!$AI$3:AQ231,5,FALSE),"¿?")</f>
        <v>¿?</v>
      </c>
      <c r="F55" s="307" t="str">
        <f>IFERROR(VLOOKUP(AW55,PREVAC!$AI$3:AQ231,6,FALSE),"¿?")</f>
        <v>¿?</v>
      </c>
      <c r="G55" s="307"/>
      <c r="H55" s="308" t="str">
        <f>IFERROR(VLOOKUP(AW55,PREVAC!$AI$3:AQ231,7,FALSE),"¿?")</f>
        <v>¿?</v>
      </c>
      <c r="I55" s="308"/>
      <c r="J55" s="308"/>
      <c r="K55" s="308"/>
      <c r="L55" s="308"/>
      <c r="M55" s="308" t="str">
        <f>IFERROR(VLOOKUP(AW55,PREVAC!$AI$3:AQ231,8,FALSE),"¿?")</f>
        <v>¿?</v>
      </c>
      <c r="N55" s="308"/>
      <c r="O55" s="308"/>
      <c r="P55" s="308"/>
      <c r="Q55" s="308"/>
      <c r="R55" s="308"/>
      <c r="S55" s="308"/>
      <c r="T55" s="308"/>
      <c r="U55" s="308"/>
      <c r="V55" s="308"/>
      <c r="W55" s="308"/>
      <c r="X55" s="308"/>
      <c r="Y55" s="308"/>
      <c r="Z55" s="308" t="str">
        <f>IFERROR(VLOOKUP(AW55,PREVAC!$AI$3:AQ231,9,FALSE),"¿?")</f>
        <v>¿?</v>
      </c>
      <c r="AA55" s="308"/>
      <c r="AB55" s="308"/>
      <c r="AC55" s="10"/>
      <c r="AD55" s="422"/>
      <c r="AE55" s="423"/>
      <c r="AF55" s="423"/>
      <c r="AG55" s="423"/>
      <c r="AH55" s="424"/>
      <c r="AI55" s="9"/>
      <c r="AP55" s="13"/>
      <c r="AQ55" s="13"/>
      <c r="AR55" s="183" t="s">
        <v>384</v>
      </c>
      <c r="AS55" s="16" t="s">
        <v>182</v>
      </c>
      <c r="AT55" s="16" t="s">
        <v>183</v>
      </c>
      <c r="AU55" s="16" t="s">
        <v>813</v>
      </c>
      <c r="AV55" s="16" t="s">
        <v>828</v>
      </c>
      <c r="AW55" s="182" t="str">
        <f t="shared" si="2"/>
        <v>Origen-BASH</v>
      </c>
      <c r="AX55" s="13"/>
      <c r="AY55" s="13"/>
      <c r="AZ55" s="13"/>
      <c r="BA55" s="13"/>
      <c r="BB55" s="16">
        <v>22</v>
      </c>
      <c r="BD55" s="13"/>
      <c r="BE55" s="13"/>
      <c r="BF55" s="13"/>
      <c r="BG55" s="13"/>
      <c r="BI55" s="13"/>
      <c r="BK55" s="13"/>
      <c r="BM55" s="13"/>
      <c r="BO55" s="13"/>
      <c r="BQ55" s="13"/>
      <c r="BS55" s="13"/>
      <c r="BT55" s="13"/>
      <c r="BU55" s="13"/>
      <c r="BV55" s="297" t="s">
        <v>924</v>
      </c>
      <c r="BW55" s="16">
        <v>3</v>
      </c>
      <c r="BY55" s="13"/>
      <c r="CC55" s="13"/>
      <c r="CE55" s="13"/>
      <c r="CG55" s="13"/>
      <c r="CI55" s="13"/>
      <c r="CK55" s="13"/>
    </row>
    <row r="56" spans="1:89" s="12" customFormat="1" ht="39.9" customHeight="1" x14ac:dyDescent="0.3">
      <c r="A56" s="9"/>
      <c r="B56" s="309" t="str">
        <f>IF(H8=0,"Origen",H8)</f>
        <v>Origen</v>
      </c>
      <c r="C56" s="180" t="s">
        <v>408</v>
      </c>
      <c r="D56" s="181" t="str">
        <f>IFERROR(VLOOKUP(AW56,PREVAC!$AI$3:AQ232,4,FALSE),"¿?")</f>
        <v>¿?</v>
      </c>
      <c r="E56" s="181" t="str">
        <f>IFERROR(VLOOKUP(AW56,PREVAC!$AI$3:AQ232,5,FALSE),"¿?")</f>
        <v>¿?</v>
      </c>
      <c r="F56" s="307" t="str">
        <f>IFERROR(VLOOKUP(AW56,PREVAC!$AI$3:AQ232,6,FALSE),"¿?")</f>
        <v>¿?</v>
      </c>
      <c r="G56" s="307"/>
      <c r="H56" s="308" t="str">
        <f>IFERROR(VLOOKUP(AW56,PREVAC!$AI$3:AQ232,7,FALSE),"¿?")</f>
        <v>¿?</v>
      </c>
      <c r="I56" s="308"/>
      <c r="J56" s="308"/>
      <c r="K56" s="308"/>
      <c r="L56" s="308"/>
      <c r="M56" s="308" t="str">
        <f>IFERROR(VLOOKUP(AW56,PREVAC!$AI$3:AQ232,8,FALSE),"¿?")</f>
        <v>¿?</v>
      </c>
      <c r="N56" s="308"/>
      <c r="O56" s="308"/>
      <c r="P56" s="308"/>
      <c r="Q56" s="308"/>
      <c r="R56" s="308"/>
      <c r="S56" s="308"/>
      <c r="T56" s="308"/>
      <c r="U56" s="308"/>
      <c r="V56" s="308"/>
      <c r="W56" s="308"/>
      <c r="X56" s="308"/>
      <c r="Y56" s="308"/>
      <c r="Z56" s="308" t="str">
        <f>IFERROR(VLOOKUP(AW56,PREVAC!$AI$3:AQ232,9,FALSE),"¿?")</f>
        <v>¿?</v>
      </c>
      <c r="AA56" s="308"/>
      <c r="AB56" s="308"/>
      <c r="AC56" s="10"/>
      <c r="AD56" s="425"/>
      <c r="AE56" s="426"/>
      <c r="AF56" s="426"/>
      <c r="AG56" s="426"/>
      <c r="AH56" s="427"/>
      <c r="AI56" s="9"/>
      <c r="AP56" s="13"/>
      <c r="AQ56" s="13"/>
      <c r="AR56" s="183" t="s">
        <v>383</v>
      </c>
      <c r="AS56" s="16" t="s">
        <v>182</v>
      </c>
      <c r="AT56" s="16" t="s">
        <v>183</v>
      </c>
      <c r="AU56" s="16" t="s">
        <v>813</v>
      </c>
      <c r="AV56" s="16" t="s">
        <v>812</v>
      </c>
      <c r="AW56" s="182" t="str">
        <f t="shared" si="2"/>
        <v>Origen-GAP</v>
      </c>
      <c r="AX56" s="13"/>
      <c r="AY56" s="13"/>
      <c r="AZ56" s="13"/>
      <c r="BA56" s="13"/>
      <c r="BB56" s="16">
        <v>23</v>
      </c>
      <c r="BD56" s="13"/>
      <c r="BE56" s="13"/>
      <c r="BF56" s="13"/>
      <c r="BG56" s="13"/>
      <c r="BI56" s="13"/>
      <c r="BK56" s="13"/>
      <c r="BM56" s="13"/>
      <c r="BO56" s="13"/>
      <c r="BQ56" s="13"/>
      <c r="BS56" s="13"/>
      <c r="BT56" s="13"/>
      <c r="BU56" s="13"/>
      <c r="BV56" s="297" t="s">
        <v>890</v>
      </c>
      <c r="BW56" s="16">
        <v>3</v>
      </c>
      <c r="BY56" s="13"/>
      <c r="CC56" s="13"/>
      <c r="CE56" s="13"/>
      <c r="CG56" s="13"/>
      <c r="CI56" s="13"/>
      <c r="CK56" s="13"/>
    </row>
    <row r="57" spans="1:89" s="12" customFormat="1" ht="39.9" customHeight="1" x14ac:dyDescent="0.3">
      <c r="A57" s="9"/>
      <c r="B57" s="305"/>
      <c r="C57" s="184" t="s">
        <v>409</v>
      </c>
      <c r="D57" s="181" t="str">
        <f>IFERROR(VLOOKUP(AW57,PREVAC!$AI$3:AQ233,4,FALSE),"¿?")</f>
        <v>¿?</v>
      </c>
      <c r="E57" s="181" t="str">
        <f>IFERROR(VLOOKUP(AW57,PREVAC!$AI$3:AQ233,5,FALSE),"¿?")</f>
        <v>¿?</v>
      </c>
      <c r="F57" s="307" t="str">
        <f>IFERROR(VLOOKUP(AW57,PREVAC!$AI$3:AQ233,6,FALSE),"¿?")</f>
        <v>¿?</v>
      </c>
      <c r="G57" s="307"/>
      <c r="H57" s="308" t="str">
        <f>IFERROR(VLOOKUP(AW57,PREVAC!$AI$3:AQ233,7,FALSE),"¿?")</f>
        <v>¿?</v>
      </c>
      <c r="I57" s="308"/>
      <c r="J57" s="308"/>
      <c r="K57" s="308"/>
      <c r="L57" s="308"/>
      <c r="M57" s="308" t="str">
        <f>IFERROR(VLOOKUP(AW57,PREVAC!$AI$3:AQ233,8,FALSE),"¿?")</f>
        <v>¿?</v>
      </c>
      <c r="N57" s="308"/>
      <c r="O57" s="308"/>
      <c r="P57" s="308"/>
      <c r="Q57" s="308"/>
      <c r="R57" s="308"/>
      <c r="S57" s="308"/>
      <c r="T57" s="308"/>
      <c r="U57" s="308"/>
      <c r="V57" s="308"/>
      <c r="W57" s="308"/>
      <c r="X57" s="308"/>
      <c r="Y57" s="308"/>
      <c r="Z57" s="308" t="str">
        <f>IFERROR(VLOOKUP(AW57,PREVAC!$AI$3:AQ233,9,FALSE),"¿?")</f>
        <v>¿?</v>
      </c>
      <c r="AA57" s="308"/>
      <c r="AB57" s="308"/>
      <c r="AC57" s="10"/>
      <c r="AD57" s="22" t="s">
        <v>406</v>
      </c>
      <c r="AE57" s="359" t="s">
        <v>709</v>
      </c>
      <c r="AF57" s="437"/>
      <c r="AG57" s="437"/>
      <c r="AH57" s="360"/>
      <c r="AI57" s="9"/>
      <c r="AP57" s="13"/>
      <c r="AQ57" s="13"/>
      <c r="AR57" s="174" t="s">
        <v>353</v>
      </c>
      <c r="AS57" s="16" t="s">
        <v>181</v>
      </c>
      <c r="AT57" s="16" t="s">
        <v>186</v>
      </c>
      <c r="AU57" s="16" t="s">
        <v>813</v>
      </c>
      <c r="AV57" s="16" t="s">
        <v>836</v>
      </c>
      <c r="AW57" s="182" t="str">
        <f t="shared" si="2"/>
        <v>Origen-CFIT</v>
      </c>
      <c r="AX57" s="13"/>
      <c r="AY57" s="13"/>
      <c r="AZ57" s="13"/>
      <c r="BA57" s="13"/>
      <c r="BB57" s="16">
        <v>24</v>
      </c>
      <c r="BD57" s="13"/>
      <c r="BE57" s="13"/>
      <c r="BF57" s="13"/>
      <c r="BG57" s="13"/>
      <c r="BI57" s="13"/>
      <c r="BK57" s="13"/>
      <c r="BM57" s="13"/>
      <c r="BO57" s="13"/>
      <c r="BQ57" s="13"/>
      <c r="BS57" s="13"/>
      <c r="BT57" s="13"/>
      <c r="BU57" s="13"/>
      <c r="BV57" s="297" t="s">
        <v>925</v>
      </c>
      <c r="BW57" s="16">
        <v>3</v>
      </c>
      <c r="BY57" s="13"/>
      <c r="CA57" s="13"/>
      <c r="CC57" s="13"/>
      <c r="CE57" s="13"/>
      <c r="CG57" s="13"/>
      <c r="CI57" s="13"/>
      <c r="CK57" s="13"/>
    </row>
    <row r="58" spans="1:89" s="12" customFormat="1" ht="39.9" customHeight="1" x14ac:dyDescent="0.3">
      <c r="A58" s="9"/>
      <c r="B58" s="305"/>
      <c r="C58" s="184" t="s">
        <v>410</v>
      </c>
      <c r="D58" s="181" t="str">
        <f>IFERROR(VLOOKUP(AW58,PREVAC!$AI$3:AQ234,4,FALSE),"¿?")</f>
        <v>¿?</v>
      </c>
      <c r="E58" s="181" t="str">
        <f>IFERROR(VLOOKUP(AW58,PREVAC!$AI$3:AQ234,5,FALSE),"¿?")</f>
        <v>¿?</v>
      </c>
      <c r="F58" s="307" t="str">
        <f>IFERROR(VLOOKUP(AW58,PREVAC!$AI$3:AQ234,6,FALSE),"¿?")</f>
        <v>¿?</v>
      </c>
      <c r="G58" s="307"/>
      <c r="H58" s="308" t="str">
        <f>IFERROR(VLOOKUP(AW58,PREVAC!$AI$3:AQ234,7,FALSE),"¿?")</f>
        <v>¿?</v>
      </c>
      <c r="I58" s="308"/>
      <c r="J58" s="308"/>
      <c r="K58" s="308"/>
      <c r="L58" s="308"/>
      <c r="M58" s="308" t="str">
        <f>IFERROR(VLOOKUP(AW58,PREVAC!$AI$3:AQ234,8,FALSE),"¿?")</f>
        <v>¿?</v>
      </c>
      <c r="N58" s="308"/>
      <c r="O58" s="308"/>
      <c r="P58" s="308"/>
      <c r="Q58" s="308"/>
      <c r="R58" s="308"/>
      <c r="S58" s="308"/>
      <c r="T58" s="308"/>
      <c r="U58" s="308"/>
      <c r="V58" s="308"/>
      <c r="W58" s="308"/>
      <c r="X58" s="308"/>
      <c r="Y58" s="308"/>
      <c r="Z58" s="308" t="str">
        <f>IFERROR(VLOOKUP(AW58,PREVAC!$AI$3:AQ234,9,FALSE),"¿?")</f>
        <v>¿?</v>
      </c>
      <c r="AA58" s="308"/>
      <c r="AB58" s="308"/>
      <c r="AC58" s="10"/>
      <c r="AD58" s="419" t="s">
        <v>717</v>
      </c>
      <c r="AE58" s="420"/>
      <c r="AF58" s="420"/>
      <c r="AG58" s="420"/>
      <c r="AH58" s="421"/>
      <c r="AI58" s="9"/>
      <c r="AP58" s="13"/>
      <c r="AQ58" s="13"/>
      <c r="AR58" s="185" t="s">
        <v>358</v>
      </c>
      <c r="AS58" s="16" t="s">
        <v>181</v>
      </c>
      <c r="AT58" s="16" t="s">
        <v>186</v>
      </c>
      <c r="AU58" s="16" t="s">
        <v>812</v>
      </c>
      <c r="AV58" s="16" t="s">
        <v>427</v>
      </c>
      <c r="AW58" s="182" t="str">
        <f t="shared" si="2"/>
        <v>Origen-FOD</v>
      </c>
      <c r="AX58" s="13"/>
      <c r="AY58" s="13"/>
      <c r="AZ58" s="13"/>
      <c r="BA58" s="13"/>
      <c r="BB58" s="16">
        <v>25</v>
      </c>
      <c r="BD58" s="13"/>
      <c r="BE58" s="13"/>
      <c r="BF58" s="13"/>
      <c r="BG58" s="13"/>
      <c r="BI58" s="13"/>
      <c r="BK58" s="13"/>
      <c r="BM58" s="13"/>
      <c r="BO58" s="13"/>
      <c r="BQ58" s="13"/>
      <c r="BS58" s="13"/>
      <c r="BT58" s="13"/>
      <c r="BU58" s="13"/>
      <c r="BV58" s="297" t="s">
        <v>926</v>
      </c>
      <c r="BW58" s="16">
        <v>3</v>
      </c>
      <c r="BY58" s="13"/>
      <c r="CA58" s="13"/>
      <c r="CC58" s="13"/>
      <c r="CE58" s="13"/>
      <c r="CG58" s="13"/>
      <c r="CI58" s="13"/>
      <c r="CK58" s="13"/>
    </row>
    <row r="59" spans="1:89" s="12" customFormat="1" ht="39.9" customHeight="1" x14ac:dyDescent="0.3">
      <c r="A59" s="9"/>
      <c r="B59" s="305" t="s">
        <v>512</v>
      </c>
      <c r="C59" s="184" t="s">
        <v>412</v>
      </c>
      <c r="D59" s="181" t="str">
        <f>IFERROR(VLOOKUP(AW59,PREVAC!$AI$3:AQ235,4,FALSE),"¿?")</f>
        <v>¿?</v>
      </c>
      <c r="E59" s="181" t="str">
        <f>IFERROR(VLOOKUP(AW59,PREVAC!$AI$3:AQ235,5,FALSE),"¿?")</f>
        <v>¿?</v>
      </c>
      <c r="F59" s="307" t="str">
        <f>IFERROR(VLOOKUP(AW59,PREVAC!$AI$3:AQ235,6,FALSE),"¿?")</f>
        <v>¿?</v>
      </c>
      <c r="G59" s="307"/>
      <c r="H59" s="308" t="str">
        <f>IFERROR(VLOOKUP(AW59,PREVAC!$AI$3:AQ235,7,FALSE),"¿?")</f>
        <v>¿?</v>
      </c>
      <c r="I59" s="308"/>
      <c r="J59" s="308"/>
      <c r="K59" s="308"/>
      <c r="L59" s="308"/>
      <c r="M59" s="308" t="str">
        <f>IFERROR(VLOOKUP(AW59,PREVAC!$AI$3:AQ235,8,FALSE),"¿?")</f>
        <v>¿?</v>
      </c>
      <c r="N59" s="308"/>
      <c r="O59" s="308"/>
      <c r="P59" s="308"/>
      <c r="Q59" s="308"/>
      <c r="R59" s="308"/>
      <c r="S59" s="308"/>
      <c r="T59" s="308"/>
      <c r="U59" s="308"/>
      <c r="V59" s="308"/>
      <c r="W59" s="308"/>
      <c r="X59" s="308"/>
      <c r="Y59" s="308"/>
      <c r="Z59" s="308" t="str">
        <f>IFERROR(VLOOKUP(AW59,PREVAC!$AI$3:AQ235,9,FALSE),"¿?")</f>
        <v>¿?</v>
      </c>
      <c r="AA59" s="308"/>
      <c r="AB59" s="308"/>
      <c r="AC59" s="10"/>
      <c r="AD59" s="422"/>
      <c r="AE59" s="423"/>
      <c r="AF59" s="423"/>
      <c r="AG59" s="423"/>
      <c r="AH59" s="424"/>
      <c r="AI59" s="9"/>
      <c r="AP59" s="13"/>
      <c r="AQ59" s="13"/>
      <c r="AR59" s="16" t="s">
        <v>390</v>
      </c>
      <c r="AS59" s="16" t="s">
        <v>182</v>
      </c>
      <c r="AT59" s="16" t="s">
        <v>186</v>
      </c>
      <c r="AU59" s="16" t="s">
        <v>812</v>
      </c>
      <c r="AV59" s="16" t="s">
        <v>830</v>
      </c>
      <c r="AW59" s="182" t="str">
        <f t="shared" si="2"/>
        <v>Origen-RIP</v>
      </c>
      <c r="AY59" s="13"/>
      <c r="BA59" s="13"/>
      <c r="BB59" s="16">
        <v>26</v>
      </c>
      <c r="BC59" s="13"/>
      <c r="BD59" s="13"/>
      <c r="BE59" s="13"/>
      <c r="BF59" s="13"/>
      <c r="BG59" s="13"/>
      <c r="BI59" s="13"/>
      <c r="BK59" s="13"/>
      <c r="BM59" s="13"/>
      <c r="BO59" s="13"/>
      <c r="BQ59" s="13"/>
      <c r="BS59" s="13"/>
      <c r="BT59" s="13"/>
      <c r="BU59" s="13"/>
      <c r="BV59" s="297" t="s">
        <v>927</v>
      </c>
      <c r="BW59" s="16">
        <v>3</v>
      </c>
      <c r="BY59" s="13"/>
      <c r="CA59" s="13"/>
      <c r="CC59" s="13"/>
      <c r="CE59" s="13"/>
      <c r="CG59" s="13"/>
      <c r="CI59" s="13"/>
      <c r="CK59" s="13"/>
    </row>
    <row r="60" spans="1:89" s="12" customFormat="1" ht="39.9" customHeight="1" x14ac:dyDescent="0.3">
      <c r="A60" s="9"/>
      <c r="B60" s="306"/>
      <c r="C60" s="184" t="s">
        <v>411</v>
      </c>
      <c r="D60" s="181" t="str">
        <f>IFERROR(VLOOKUP(AW60,PREVAC!$AI$3:AQ236,4,FALSE),"¿?")</f>
        <v>¿?</v>
      </c>
      <c r="E60" s="181" t="str">
        <f>IFERROR(VLOOKUP(AW60,PREVAC!$AI$3:AQ236,5,FALSE),"¿?")</f>
        <v>¿?</v>
      </c>
      <c r="F60" s="307" t="str">
        <f>IFERROR(VLOOKUP(AW60,PREVAC!$AI$3:AQ236,6,FALSE),"¿?")</f>
        <v>¿?</v>
      </c>
      <c r="G60" s="307"/>
      <c r="H60" s="308" t="str">
        <f>IFERROR(VLOOKUP(AW60,PREVAC!$AI$3:AQ236,7,FALSE),"¿?")</f>
        <v>¿?</v>
      </c>
      <c r="I60" s="308"/>
      <c r="J60" s="308"/>
      <c r="K60" s="308"/>
      <c r="L60" s="308"/>
      <c r="M60" s="308" t="str">
        <f>IFERROR(VLOOKUP(AW60,PREVAC!$AI$3:AQ236,8,FALSE),"¿?")</f>
        <v>¿?</v>
      </c>
      <c r="N60" s="308"/>
      <c r="O60" s="308"/>
      <c r="P60" s="308"/>
      <c r="Q60" s="308"/>
      <c r="R60" s="308"/>
      <c r="S60" s="308"/>
      <c r="T60" s="308"/>
      <c r="U60" s="308"/>
      <c r="V60" s="308"/>
      <c r="W60" s="308"/>
      <c r="X60" s="308"/>
      <c r="Y60" s="308"/>
      <c r="Z60" s="308" t="str">
        <f>IFERROR(VLOOKUP(AW60,PREVAC!$AI$3:AQ236,9,FALSE),"¿?")</f>
        <v>¿?</v>
      </c>
      <c r="AA60" s="308"/>
      <c r="AB60" s="308"/>
      <c r="AC60" s="10"/>
      <c r="AD60" s="425"/>
      <c r="AE60" s="426"/>
      <c r="AF60" s="426"/>
      <c r="AG60" s="426"/>
      <c r="AH60" s="427"/>
      <c r="AI60" s="9"/>
      <c r="AP60" s="13"/>
      <c r="AQ60" s="13"/>
      <c r="AR60" s="185" t="s">
        <v>359</v>
      </c>
      <c r="AS60" s="16" t="s">
        <v>181</v>
      </c>
      <c r="AT60" s="16" t="s">
        <v>186</v>
      </c>
      <c r="AU60" s="16" t="s">
        <v>831</v>
      </c>
      <c r="AV60" s="16" t="s">
        <v>828</v>
      </c>
      <c r="AW60" s="182" t="str">
        <f t="shared" si="2"/>
        <v>Origen-ALAR</v>
      </c>
      <c r="AX60" s="13"/>
      <c r="AY60" s="13"/>
      <c r="AZ60" s="13"/>
      <c r="BA60" s="13"/>
      <c r="BB60" s="16">
        <v>27</v>
      </c>
      <c r="BC60" s="13"/>
      <c r="BD60" s="13"/>
      <c r="BE60" s="13"/>
      <c r="BF60" s="13"/>
      <c r="BG60" s="13"/>
      <c r="BI60" s="13"/>
      <c r="BK60" s="13"/>
      <c r="BM60" s="13"/>
      <c r="BO60" s="13"/>
      <c r="BQ60" s="13"/>
      <c r="BS60" s="13"/>
      <c r="BT60" s="13"/>
      <c r="BU60" s="13"/>
      <c r="BV60" s="297" t="s">
        <v>893</v>
      </c>
      <c r="BW60" s="16">
        <v>3</v>
      </c>
      <c r="BY60" s="13"/>
      <c r="CA60" s="13"/>
      <c r="CC60" s="13"/>
      <c r="CE60" s="13"/>
      <c r="CG60" s="13"/>
      <c r="CI60" s="13"/>
      <c r="CK60" s="13"/>
    </row>
    <row r="61" spans="1:89" s="12" customFormat="1" ht="39.9" customHeight="1" x14ac:dyDescent="0.3">
      <c r="A61" s="9"/>
      <c r="B61" s="322"/>
      <c r="C61" s="310"/>
      <c r="D61" s="310"/>
      <c r="E61" s="310"/>
      <c r="F61" s="310"/>
      <c r="G61" s="310"/>
      <c r="H61" s="310"/>
      <c r="I61" s="310"/>
      <c r="J61" s="310"/>
      <c r="K61" s="310"/>
      <c r="L61" s="310"/>
      <c r="M61" s="310"/>
      <c r="N61" s="310"/>
      <c r="O61" s="310"/>
      <c r="P61" s="310"/>
      <c r="Q61" s="310"/>
      <c r="R61" s="310"/>
      <c r="S61" s="310"/>
      <c r="T61" s="310"/>
      <c r="U61" s="310"/>
      <c r="V61" s="310"/>
      <c r="W61" s="310"/>
      <c r="X61" s="310"/>
      <c r="Y61" s="310"/>
      <c r="Z61" s="310"/>
      <c r="AA61" s="310"/>
      <c r="AB61" s="310"/>
      <c r="AC61" s="10"/>
      <c r="AD61" s="22" t="s">
        <v>407</v>
      </c>
      <c r="AE61" s="359" t="s">
        <v>710</v>
      </c>
      <c r="AF61" s="437"/>
      <c r="AG61" s="437"/>
      <c r="AH61" s="360"/>
      <c r="AI61" s="9"/>
      <c r="AP61" s="13"/>
      <c r="AQ61" s="13"/>
      <c r="AR61" s="16" t="s">
        <v>388</v>
      </c>
      <c r="AS61" s="16" t="s">
        <v>181</v>
      </c>
      <c r="AT61" s="16" t="s">
        <v>183</v>
      </c>
      <c r="AU61" s="16" t="s">
        <v>831</v>
      </c>
      <c r="AV61" s="16" t="s">
        <v>832</v>
      </c>
      <c r="AW61" s="182"/>
      <c r="AY61" s="13"/>
      <c r="BA61" s="13"/>
      <c r="BB61" s="16">
        <v>28</v>
      </c>
      <c r="BC61" s="13"/>
      <c r="BD61" s="13"/>
      <c r="BE61" s="13"/>
      <c r="BF61" s="13"/>
      <c r="BG61" s="13"/>
      <c r="BI61" s="13"/>
      <c r="BK61" s="13"/>
      <c r="BM61" s="13"/>
      <c r="BO61" s="13"/>
      <c r="BQ61" s="13"/>
      <c r="BS61" s="13"/>
      <c r="BT61" s="13"/>
      <c r="BU61" s="13"/>
      <c r="BV61" s="16" t="s">
        <v>116</v>
      </c>
      <c r="BW61" s="16">
        <v>0</v>
      </c>
      <c r="BY61" s="13"/>
      <c r="CA61" s="13"/>
      <c r="CC61" s="13"/>
      <c r="CE61" s="13"/>
      <c r="CG61" s="13"/>
      <c r="CI61" s="13"/>
      <c r="CK61" s="13"/>
    </row>
    <row r="62" spans="1:89" s="12" customFormat="1" ht="39.9" customHeight="1" x14ac:dyDescent="0.3">
      <c r="A62" s="9"/>
      <c r="B62" s="311" t="str">
        <f>R19</f>
        <v>⦿</v>
      </c>
      <c r="C62" s="186" t="s">
        <v>406</v>
      </c>
      <c r="D62" s="181" t="str">
        <f>IFERROR(VLOOKUP(AW62,PREVAC!$AI$3:AQ238,4,FALSE),"¿?")</f>
        <v>¿?</v>
      </c>
      <c r="E62" s="181" t="str">
        <f>IFERROR(VLOOKUP(AW62,PREVAC!$AI$3:AQ238,5,FALSE),"¿?")</f>
        <v>¿?</v>
      </c>
      <c r="F62" s="307" t="str">
        <f>IFERROR(VLOOKUP(AW62,PREVAC!$AI$3:AQ238,6,FALSE),"¿?")</f>
        <v>¿?</v>
      </c>
      <c r="G62" s="307"/>
      <c r="H62" s="308" t="str">
        <f>IFERROR(VLOOKUP(AW62,PREVAC!$AI$3:AQ238,7,FALSE),"¿?")</f>
        <v>¿?</v>
      </c>
      <c r="I62" s="308"/>
      <c r="J62" s="308"/>
      <c r="K62" s="308"/>
      <c r="L62" s="308"/>
      <c r="M62" s="308" t="str">
        <f>IFERROR(VLOOKUP(AW62,PREVAC!$AI$3:AQ238,8,FALSE),"¿?")</f>
        <v>¿?</v>
      </c>
      <c r="N62" s="308"/>
      <c r="O62" s="308"/>
      <c r="P62" s="308"/>
      <c r="Q62" s="308"/>
      <c r="R62" s="308"/>
      <c r="S62" s="308"/>
      <c r="T62" s="308"/>
      <c r="U62" s="308"/>
      <c r="V62" s="308"/>
      <c r="W62" s="308"/>
      <c r="X62" s="308"/>
      <c r="Y62" s="308"/>
      <c r="Z62" s="308" t="str">
        <f>IFERROR(VLOOKUP(AW62,PREVAC!$AI$3:AQ238,9,FALSE),"¿?")</f>
        <v>¿?</v>
      </c>
      <c r="AA62" s="308"/>
      <c r="AB62" s="308"/>
      <c r="AC62" s="10"/>
      <c r="AD62" s="419" t="s">
        <v>718</v>
      </c>
      <c r="AE62" s="420"/>
      <c r="AF62" s="420"/>
      <c r="AG62" s="420"/>
      <c r="AH62" s="421"/>
      <c r="AI62" s="9"/>
      <c r="AP62" s="13"/>
      <c r="AQ62" s="13"/>
      <c r="AR62" s="185" t="s">
        <v>360</v>
      </c>
      <c r="AS62" s="16" t="s">
        <v>181</v>
      </c>
      <c r="AT62" s="16" t="s">
        <v>183</v>
      </c>
      <c r="AU62" s="16" t="s">
        <v>824</v>
      </c>
      <c r="AV62" s="16" t="s">
        <v>813</v>
      </c>
      <c r="AW62" s="182" t="str">
        <f t="shared" ref="AW62:AW68" si="3">CONCATENATE($B$64,"-",C62)</f>
        <v>Destino-MACA</v>
      </c>
      <c r="AY62" s="13"/>
      <c r="BA62" s="13"/>
      <c r="BB62" s="16">
        <v>29</v>
      </c>
      <c r="BC62" s="13"/>
      <c r="BD62" s="13"/>
      <c r="BE62" s="13"/>
      <c r="BF62" s="13"/>
      <c r="BG62" s="13"/>
      <c r="BI62" s="13"/>
      <c r="BK62" s="13"/>
      <c r="BM62" s="13"/>
      <c r="BO62" s="13"/>
      <c r="BQ62" s="13"/>
      <c r="BS62" s="13"/>
      <c r="BT62" s="13"/>
      <c r="BU62" s="13"/>
      <c r="BV62" s="16" t="s">
        <v>944</v>
      </c>
      <c r="BW62" s="16">
        <v>10</v>
      </c>
      <c r="BY62" s="13"/>
      <c r="CA62" s="13"/>
      <c r="CC62" s="13"/>
      <c r="CE62" s="13"/>
      <c r="CG62" s="13"/>
      <c r="CI62" s="13"/>
      <c r="CK62" s="13"/>
    </row>
    <row r="63" spans="1:89" s="12" customFormat="1" ht="39.9" customHeight="1" x14ac:dyDescent="0.3">
      <c r="A63" s="9"/>
      <c r="B63" s="312"/>
      <c r="C63" s="186" t="s">
        <v>407</v>
      </c>
      <c r="D63" s="181" t="str">
        <f>IFERROR(VLOOKUP(AW63,PREVAC!$AI$3:AQ239,4,FALSE),"¿?")</f>
        <v>¿?</v>
      </c>
      <c r="E63" s="181" t="str">
        <f>IFERROR(VLOOKUP(AW63,PREVAC!$AI$3:AQ239,5,FALSE),"¿?")</f>
        <v>¿?</v>
      </c>
      <c r="F63" s="307" t="str">
        <f>IFERROR(VLOOKUP(AW63,PREVAC!$AI$3:AQ239,6,FALSE),"¿?")</f>
        <v>¿?</v>
      </c>
      <c r="G63" s="307"/>
      <c r="H63" s="308" t="str">
        <f>IFERROR(VLOOKUP(AW63,PREVAC!$AI$3:AQ239,7,FALSE),"¿?")</f>
        <v>¿?</v>
      </c>
      <c r="I63" s="308"/>
      <c r="J63" s="308"/>
      <c r="K63" s="308"/>
      <c r="L63" s="308"/>
      <c r="M63" s="308" t="str">
        <f>IFERROR(VLOOKUP(AW63,PREVAC!$AI$3:AQ239,8,FALSE),"¿?")</f>
        <v>¿?</v>
      </c>
      <c r="N63" s="308"/>
      <c r="O63" s="308"/>
      <c r="P63" s="308"/>
      <c r="Q63" s="308"/>
      <c r="R63" s="308"/>
      <c r="S63" s="308"/>
      <c r="T63" s="308"/>
      <c r="U63" s="308"/>
      <c r="V63" s="308"/>
      <c r="W63" s="308"/>
      <c r="X63" s="308"/>
      <c r="Y63" s="308"/>
      <c r="Z63" s="308" t="str">
        <f>IFERROR(VLOOKUP(AW63,PREVAC!$AI$3:AQ239,9,FALSE),"¿?")</f>
        <v>¿?</v>
      </c>
      <c r="AA63" s="308"/>
      <c r="AB63" s="308"/>
      <c r="AC63" s="10"/>
      <c r="AD63" s="422"/>
      <c r="AE63" s="423"/>
      <c r="AF63" s="423"/>
      <c r="AG63" s="423"/>
      <c r="AH63" s="424"/>
      <c r="AI63" s="9"/>
      <c r="AP63" s="13"/>
      <c r="AQ63" s="13"/>
      <c r="AR63" s="185" t="s">
        <v>362</v>
      </c>
      <c r="AS63" s="16" t="s">
        <v>182</v>
      </c>
      <c r="AT63" s="16" t="s">
        <v>183</v>
      </c>
      <c r="AU63" s="16" t="s">
        <v>837</v>
      </c>
      <c r="AV63" s="16" t="s">
        <v>817</v>
      </c>
      <c r="AW63" s="182" t="str">
        <f t="shared" si="3"/>
        <v>Destino-BASH</v>
      </c>
      <c r="AY63" s="13"/>
      <c r="BA63" s="13"/>
      <c r="BB63" s="16">
        <v>30</v>
      </c>
      <c r="BC63" s="13"/>
      <c r="BD63" s="13"/>
      <c r="BE63" s="13"/>
      <c r="BF63" s="13"/>
      <c r="BG63" s="13"/>
      <c r="BI63" s="13"/>
      <c r="BK63" s="13"/>
      <c r="BM63" s="13"/>
      <c r="BO63" s="13"/>
      <c r="BQ63" s="13"/>
      <c r="BS63" s="13"/>
      <c r="BT63" s="13"/>
      <c r="BU63" s="13"/>
      <c r="BY63" s="13"/>
      <c r="CA63" s="13"/>
      <c r="CC63" s="13"/>
      <c r="CE63" s="13"/>
      <c r="CG63" s="13"/>
      <c r="CI63" s="13"/>
      <c r="CK63" s="13"/>
    </row>
    <row r="64" spans="1:89" ht="39.9" customHeight="1" x14ac:dyDescent="0.3">
      <c r="A64" s="9"/>
      <c r="B64" s="309" t="str">
        <f>IF(H9=0,"Destino",H9)</f>
        <v>Destino</v>
      </c>
      <c r="C64" s="186" t="s">
        <v>408</v>
      </c>
      <c r="D64" s="181" t="str">
        <f>IFERROR(VLOOKUP(AW64,PREVAC!$AI$3:AQ240,4,FALSE),"¿?")</f>
        <v>¿?</v>
      </c>
      <c r="E64" s="181" t="str">
        <f>IFERROR(VLOOKUP(AW64,PREVAC!$AI$3:AQ240,5,FALSE),"¿?")</f>
        <v>¿?</v>
      </c>
      <c r="F64" s="307" t="str">
        <f>IFERROR(VLOOKUP(AW64,PREVAC!$AI$3:AQ240,6,FALSE),"¿?")</f>
        <v>¿?</v>
      </c>
      <c r="G64" s="307"/>
      <c r="H64" s="308" t="str">
        <f>IFERROR(VLOOKUP(AW64,PREVAC!$AI$3:AQ240,7,FALSE),"¿?")</f>
        <v>¿?</v>
      </c>
      <c r="I64" s="308"/>
      <c r="J64" s="308"/>
      <c r="K64" s="308"/>
      <c r="L64" s="308"/>
      <c r="M64" s="308" t="str">
        <f>IFERROR(VLOOKUP(AW64,PREVAC!$AI$3:AQ240,8,FALSE),"¿?")</f>
        <v>¿?</v>
      </c>
      <c r="N64" s="308"/>
      <c r="O64" s="308"/>
      <c r="P64" s="308"/>
      <c r="Q64" s="308"/>
      <c r="R64" s="308"/>
      <c r="S64" s="308"/>
      <c r="T64" s="308"/>
      <c r="U64" s="308"/>
      <c r="V64" s="308"/>
      <c r="W64" s="308"/>
      <c r="X64" s="308"/>
      <c r="Y64" s="308"/>
      <c r="Z64" s="308" t="str">
        <f>IFERROR(VLOOKUP(AW64,PREVAC!$AI$3:AQ240,9,FALSE),"¿?")</f>
        <v>¿?</v>
      </c>
      <c r="AA64" s="308"/>
      <c r="AB64" s="308"/>
      <c r="AD64" s="425"/>
      <c r="AE64" s="426"/>
      <c r="AF64" s="426"/>
      <c r="AG64" s="426"/>
      <c r="AH64" s="427"/>
      <c r="AI64" s="9"/>
      <c r="AR64" s="185" t="s">
        <v>361</v>
      </c>
      <c r="AS64" s="16" t="s">
        <v>182</v>
      </c>
      <c r="AT64" s="16" t="s">
        <v>184</v>
      </c>
      <c r="AU64" s="16" t="s">
        <v>815</v>
      </c>
      <c r="AV64" s="16" t="s">
        <v>817</v>
      </c>
      <c r="AW64" s="182" t="str">
        <f t="shared" si="3"/>
        <v>Destino-GAP</v>
      </c>
      <c r="AX64" s="12"/>
      <c r="AZ64" s="12"/>
      <c r="BB64" s="16">
        <v>31</v>
      </c>
    </row>
    <row r="65" spans="1:49" ht="39.9" customHeight="1" x14ac:dyDescent="0.3">
      <c r="A65" s="9"/>
      <c r="B65" s="305"/>
      <c r="C65" s="187" t="s">
        <v>409</v>
      </c>
      <c r="D65" s="181" t="str">
        <f>IFERROR(VLOOKUP(AW65,PREVAC!$AI$3:AQ241,4,FALSE),"¿?")</f>
        <v>¿?</v>
      </c>
      <c r="E65" s="181" t="str">
        <f>IFERROR(VLOOKUP(AW65,PREVAC!$AI$3:AQ241,5,FALSE),"¿?")</f>
        <v>¿?</v>
      </c>
      <c r="F65" s="307" t="str">
        <f>IFERROR(VLOOKUP(AW65,PREVAC!$AI$3:AQ241,6,FALSE),"¿?")</f>
        <v>¿?</v>
      </c>
      <c r="G65" s="307"/>
      <c r="H65" s="308" t="str">
        <f>IFERROR(VLOOKUP(AW65,PREVAC!$AI$3:AQ241,7,FALSE),"¿?")</f>
        <v>¿?</v>
      </c>
      <c r="I65" s="308"/>
      <c r="J65" s="308"/>
      <c r="K65" s="308"/>
      <c r="L65" s="308"/>
      <c r="M65" s="308" t="str">
        <f>IFERROR(VLOOKUP(AW65,PREVAC!$AI$3:AQ241,8,FALSE),"¿?")</f>
        <v>¿?</v>
      </c>
      <c r="N65" s="308"/>
      <c r="O65" s="308"/>
      <c r="P65" s="308"/>
      <c r="Q65" s="308"/>
      <c r="R65" s="308"/>
      <c r="S65" s="308"/>
      <c r="T65" s="308"/>
      <c r="U65" s="308"/>
      <c r="V65" s="308"/>
      <c r="W65" s="308"/>
      <c r="X65" s="308"/>
      <c r="Y65" s="308"/>
      <c r="Z65" s="308" t="str">
        <f>IFERROR(VLOOKUP(AW65,PREVAC!$AI$3:AQ241,9,FALSE),"¿?")</f>
        <v>¿?</v>
      </c>
      <c r="AA65" s="308"/>
      <c r="AB65" s="308"/>
      <c r="AD65" s="22" t="s">
        <v>408</v>
      </c>
      <c r="AE65" s="359" t="s">
        <v>711</v>
      </c>
      <c r="AF65" s="437"/>
      <c r="AG65" s="437"/>
      <c r="AH65" s="360"/>
      <c r="AI65" s="9"/>
      <c r="AR65" s="16" t="s">
        <v>387</v>
      </c>
      <c r="AS65" s="16" t="s">
        <v>181</v>
      </c>
      <c r="AT65" s="16" t="s">
        <v>183</v>
      </c>
      <c r="AU65" s="16" t="s">
        <v>816</v>
      </c>
      <c r="AV65" s="16" t="s">
        <v>812</v>
      </c>
      <c r="AW65" s="182" t="str">
        <f t="shared" si="3"/>
        <v>Destino-CFIT</v>
      </c>
    </row>
    <row r="66" spans="1:49" ht="39.9" customHeight="1" x14ac:dyDescent="0.3">
      <c r="A66" s="9"/>
      <c r="B66" s="305"/>
      <c r="C66" s="187" t="s">
        <v>410</v>
      </c>
      <c r="D66" s="181" t="str">
        <f>IFERROR(VLOOKUP(AW66,PREVAC!$AI$3:AQ242,4,FALSE),"¿?")</f>
        <v>¿?</v>
      </c>
      <c r="E66" s="181" t="str">
        <f>IFERROR(VLOOKUP(AW66,PREVAC!$AI$3:AQ242,5,FALSE),"¿?")</f>
        <v>¿?</v>
      </c>
      <c r="F66" s="307" t="str">
        <f>IFERROR(VLOOKUP(AW66,PREVAC!$AI$3:AQ242,6,FALSE),"¿?")</f>
        <v>¿?</v>
      </c>
      <c r="G66" s="307"/>
      <c r="H66" s="308" t="str">
        <f>IFERROR(VLOOKUP(AW66,PREVAC!$AI$3:AQ242,7,FALSE),"¿?")</f>
        <v>¿?</v>
      </c>
      <c r="I66" s="308"/>
      <c r="J66" s="308"/>
      <c r="K66" s="308"/>
      <c r="L66" s="308"/>
      <c r="M66" s="308" t="str">
        <f>IFERROR(VLOOKUP(AW66,PREVAC!$AI$3:AQ242,8,FALSE),"¿?")</f>
        <v>¿?</v>
      </c>
      <c r="N66" s="308"/>
      <c r="O66" s="308"/>
      <c r="P66" s="308"/>
      <c r="Q66" s="308"/>
      <c r="R66" s="308"/>
      <c r="S66" s="308"/>
      <c r="T66" s="308"/>
      <c r="U66" s="308"/>
      <c r="V66" s="308"/>
      <c r="W66" s="308"/>
      <c r="X66" s="308"/>
      <c r="Y66" s="308"/>
      <c r="Z66" s="308" t="str">
        <f>IFERROR(VLOOKUP(AW66,PREVAC!$AI$3:AQ242,9,FALSE),"¿?")</f>
        <v>¿?</v>
      </c>
      <c r="AA66" s="308"/>
      <c r="AB66" s="308"/>
      <c r="AD66" s="419" t="s">
        <v>719</v>
      </c>
      <c r="AE66" s="420"/>
      <c r="AF66" s="420"/>
      <c r="AG66" s="420"/>
      <c r="AH66" s="421"/>
      <c r="AI66" s="9"/>
      <c r="AW66" s="182" t="str">
        <f t="shared" si="3"/>
        <v>Destino-FOD</v>
      </c>
    </row>
    <row r="67" spans="1:49" ht="39.9" customHeight="1" x14ac:dyDescent="0.3">
      <c r="A67" s="9"/>
      <c r="B67" s="305" t="s">
        <v>514</v>
      </c>
      <c r="C67" s="187" t="s">
        <v>412</v>
      </c>
      <c r="D67" s="181" t="str">
        <f>IFERROR(VLOOKUP(AW67,PREVAC!$AI$3:AQ243,4,FALSE),"¿?")</f>
        <v>¿?</v>
      </c>
      <c r="E67" s="181" t="str">
        <f>IFERROR(VLOOKUP(AW67,PREVAC!$AI$3:AQ243,5,FALSE),"¿?")</f>
        <v>¿?</v>
      </c>
      <c r="F67" s="307" t="str">
        <f>IFERROR(VLOOKUP(AW67,PREVAC!$AI$3:AQ243,6,FALSE),"¿?")</f>
        <v>¿?</v>
      </c>
      <c r="G67" s="307"/>
      <c r="H67" s="308" t="str">
        <f>IFERROR(VLOOKUP(AW67,PREVAC!$AI$3:AQ243,7,FALSE),"¿?")</f>
        <v>¿?</v>
      </c>
      <c r="I67" s="308"/>
      <c r="J67" s="308"/>
      <c r="K67" s="308"/>
      <c r="L67" s="308"/>
      <c r="M67" s="308" t="str">
        <f>IFERROR(VLOOKUP(AW67,PREVAC!$AI$3:AQ243,8,FALSE),"¿?")</f>
        <v>¿?</v>
      </c>
      <c r="N67" s="308"/>
      <c r="O67" s="308"/>
      <c r="P67" s="308"/>
      <c r="Q67" s="308"/>
      <c r="R67" s="308"/>
      <c r="S67" s="308"/>
      <c r="T67" s="308"/>
      <c r="U67" s="308"/>
      <c r="V67" s="308"/>
      <c r="W67" s="308"/>
      <c r="X67" s="308"/>
      <c r="Y67" s="308"/>
      <c r="Z67" s="308" t="str">
        <f>IFERROR(VLOOKUP(AW67,PREVAC!$AI$3:AQ243,9,FALSE),"¿?")</f>
        <v>¿?</v>
      </c>
      <c r="AA67" s="308"/>
      <c r="AB67" s="308"/>
      <c r="AD67" s="422"/>
      <c r="AE67" s="423"/>
      <c r="AF67" s="423"/>
      <c r="AG67" s="423"/>
      <c r="AH67" s="424"/>
      <c r="AI67" s="9"/>
      <c r="AW67" s="182" t="str">
        <f t="shared" si="3"/>
        <v>Destino-RIP</v>
      </c>
    </row>
    <row r="68" spans="1:49" ht="39.9" customHeight="1" x14ac:dyDescent="0.3">
      <c r="A68" s="9"/>
      <c r="B68" s="306"/>
      <c r="C68" s="187" t="s">
        <v>411</v>
      </c>
      <c r="D68" s="181" t="str">
        <f>IFERROR(VLOOKUP(AW68,PREVAC!$AI$3:AQ244,4,FALSE),"¿?")</f>
        <v>¿?</v>
      </c>
      <c r="E68" s="181" t="str">
        <f>IFERROR(VLOOKUP(AW68,PREVAC!$AI$3:AQ244,5,FALSE),"¿?")</f>
        <v>¿?</v>
      </c>
      <c r="F68" s="307" t="str">
        <f>IFERROR(VLOOKUP(AW68,PREVAC!$AI$3:AQ244,6,FALSE),"¿?")</f>
        <v>¿?</v>
      </c>
      <c r="G68" s="307"/>
      <c r="H68" s="308" t="str">
        <f>IFERROR(VLOOKUP(AW68,PREVAC!$AI$3:AQ244,7,FALSE),"¿?")</f>
        <v>¿?</v>
      </c>
      <c r="I68" s="308"/>
      <c r="J68" s="308"/>
      <c r="K68" s="308"/>
      <c r="L68" s="308"/>
      <c r="M68" s="308" t="str">
        <f>IFERROR(VLOOKUP(AW68,PREVAC!$AI$3:AQ244,8,FALSE),"¿?")</f>
        <v>¿?</v>
      </c>
      <c r="N68" s="308"/>
      <c r="O68" s="308"/>
      <c r="P68" s="308"/>
      <c r="Q68" s="308"/>
      <c r="R68" s="308"/>
      <c r="S68" s="308"/>
      <c r="T68" s="308"/>
      <c r="U68" s="308"/>
      <c r="V68" s="308"/>
      <c r="W68" s="308"/>
      <c r="X68" s="308"/>
      <c r="Y68" s="308"/>
      <c r="Z68" s="308" t="str">
        <f>IFERROR(VLOOKUP(AW68,PREVAC!$AI$3:AQ244,9,FALSE),"¿?")</f>
        <v>¿?</v>
      </c>
      <c r="AA68" s="308"/>
      <c r="AB68" s="308"/>
      <c r="AD68" s="425"/>
      <c r="AE68" s="426"/>
      <c r="AF68" s="426"/>
      <c r="AG68" s="426"/>
      <c r="AH68" s="427"/>
      <c r="AI68" s="9"/>
      <c r="AW68" s="182" t="str">
        <f t="shared" si="3"/>
        <v>Destino-ALAR</v>
      </c>
    </row>
    <row r="69" spans="1:49" ht="39.9" customHeight="1" x14ac:dyDescent="0.3">
      <c r="A69" s="9"/>
      <c r="B69" s="310"/>
      <c r="C69" s="310"/>
      <c r="D69" s="310"/>
      <c r="E69" s="310"/>
      <c r="F69" s="310"/>
      <c r="G69" s="310"/>
      <c r="H69" s="310"/>
      <c r="I69" s="310"/>
      <c r="J69" s="310"/>
      <c r="K69" s="310"/>
      <c r="L69" s="310"/>
      <c r="M69" s="310"/>
      <c r="N69" s="310"/>
      <c r="O69" s="310"/>
      <c r="P69" s="310"/>
      <c r="Q69" s="310"/>
      <c r="R69" s="310"/>
      <c r="S69" s="310"/>
      <c r="T69" s="310"/>
      <c r="U69" s="310"/>
      <c r="V69" s="310"/>
      <c r="W69" s="310"/>
      <c r="X69" s="310"/>
      <c r="Y69" s="310"/>
      <c r="Z69" s="310"/>
      <c r="AA69" s="310"/>
      <c r="AB69" s="310"/>
      <c r="AD69" s="188" t="s">
        <v>409</v>
      </c>
      <c r="AE69" s="438" t="s">
        <v>712</v>
      </c>
      <c r="AF69" s="439"/>
      <c r="AG69" s="439"/>
      <c r="AH69" s="440"/>
      <c r="AI69" s="9"/>
      <c r="AW69" s="182"/>
    </row>
    <row r="70" spans="1:49" ht="39.9" customHeight="1" x14ac:dyDescent="0.3">
      <c r="A70" s="9"/>
      <c r="B70" s="311" t="str">
        <f>Q29</f>
        <v>⦿</v>
      </c>
      <c r="C70" s="186" t="s">
        <v>406</v>
      </c>
      <c r="D70" s="181" t="str">
        <f>IFERROR(VLOOKUP(AW70,PREVAC!$AI$3:AQ246,4,FALSE),"¿?")</f>
        <v>¿?</v>
      </c>
      <c r="E70" s="181" t="str">
        <f>IFERROR(VLOOKUP(AW70,PREVAC!$AI$3:AQ246,5,FALSE),"¿?")</f>
        <v>¿?</v>
      </c>
      <c r="F70" s="307" t="str">
        <f>IFERROR(VLOOKUP(AW70,PREVAC!$AI$3:AQ246,6,FALSE),"¿?")</f>
        <v>¿?</v>
      </c>
      <c r="G70" s="307"/>
      <c r="H70" s="308" t="str">
        <f>IFERROR(VLOOKUP(AW70,PREVAC!$AI$3:AQ246,7,FALSE),"¿?")</f>
        <v>¿?</v>
      </c>
      <c r="I70" s="308"/>
      <c r="J70" s="308"/>
      <c r="K70" s="308"/>
      <c r="L70" s="308"/>
      <c r="M70" s="308" t="str">
        <f>IFERROR(VLOOKUP(AW70,PREVAC!$AI$3:AQ246,8,FALSE),"¿?")</f>
        <v>¿?</v>
      </c>
      <c r="N70" s="308"/>
      <c r="O70" s="308"/>
      <c r="P70" s="308"/>
      <c r="Q70" s="308"/>
      <c r="R70" s="308"/>
      <c r="S70" s="308"/>
      <c r="T70" s="308"/>
      <c r="U70" s="308"/>
      <c r="V70" s="308"/>
      <c r="W70" s="308"/>
      <c r="X70" s="308"/>
      <c r="Y70" s="308"/>
      <c r="Z70" s="308" t="str">
        <f>IFERROR(VLOOKUP(AW70,PREVAC!$AI$3:AQ246,9,FALSE),"¿?")</f>
        <v>¿?</v>
      </c>
      <c r="AA70" s="308"/>
      <c r="AB70" s="308"/>
      <c r="AD70" s="419" t="s">
        <v>720</v>
      </c>
      <c r="AE70" s="420"/>
      <c r="AF70" s="420"/>
      <c r="AG70" s="420"/>
      <c r="AH70" s="421"/>
      <c r="AI70" s="9"/>
      <c r="AW70" s="182" t="str">
        <f t="shared" ref="AW70:AW76" si="4">CONCATENATE($B$72,"-",C70)</f>
        <v>Alterno 1-MACA</v>
      </c>
    </row>
    <row r="71" spans="1:49" ht="39.9" customHeight="1" x14ac:dyDescent="0.3">
      <c r="A71" s="9"/>
      <c r="B71" s="312"/>
      <c r="C71" s="186" t="s">
        <v>407</v>
      </c>
      <c r="D71" s="181" t="str">
        <f>IFERROR(VLOOKUP(AW71,PREVAC!$AI$3:AQ247,4,FALSE),"¿?")</f>
        <v>¿?</v>
      </c>
      <c r="E71" s="181" t="str">
        <f>IFERROR(VLOOKUP(AW71,PREVAC!$AI$3:AQ247,5,FALSE),"¿?")</f>
        <v>¿?</v>
      </c>
      <c r="F71" s="307" t="str">
        <f>IFERROR(VLOOKUP(AW71,PREVAC!$AI$3:AQ247,6,FALSE),"¿?")</f>
        <v>¿?</v>
      </c>
      <c r="G71" s="307"/>
      <c r="H71" s="308" t="str">
        <f>IFERROR(VLOOKUP(AW71,PREVAC!$AI$3:AQ247,7,FALSE),"¿?")</f>
        <v>¿?</v>
      </c>
      <c r="I71" s="308"/>
      <c r="J71" s="308"/>
      <c r="K71" s="308"/>
      <c r="L71" s="308"/>
      <c r="M71" s="308" t="str">
        <f>IFERROR(VLOOKUP(AW71,PREVAC!$AI$3:AQ247,8,FALSE),"¿?")</f>
        <v>¿?</v>
      </c>
      <c r="N71" s="308"/>
      <c r="O71" s="308"/>
      <c r="P71" s="308"/>
      <c r="Q71" s="308"/>
      <c r="R71" s="308"/>
      <c r="S71" s="308"/>
      <c r="T71" s="308"/>
      <c r="U71" s="308"/>
      <c r="V71" s="308"/>
      <c r="W71" s="308"/>
      <c r="X71" s="308"/>
      <c r="Y71" s="308"/>
      <c r="Z71" s="308" t="str">
        <f>IFERROR(VLOOKUP(AW71,PREVAC!$AI$3:AQ247,9,FALSE),"¿?")</f>
        <v>¿?</v>
      </c>
      <c r="AA71" s="308"/>
      <c r="AB71" s="308"/>
      <c r="AD71" s="422"/>
      <c r="AE71" s="423"/>
      <c r="AF71" s="423"/>
      <c r="AG71" s="423"/>
      <c r="AH71" s="424"/>
      <c r="AI71" s="9"/>
      <c r="AW71" s="182" t="str">
        <f t="shared" si="4"/>
        <v>Alterno 1-BASH</v>
      </c>
    </row>
    <row r="72" spans="1:49" ht="39.9" customHeight="1" x14ac:dyDescent="0.3">
      <c r="A72" s="9"/>
      <c r="B72" s="309" t="str">
        <f>IF(L8=0,"Alterno 1",L8)</f>
        <v>Alterno 1</v>
      </c>
      <c r="C72" s="186" t="s">
        <v>408</v>
      </c>
      <c r="D72" s="181" t="str">
        <f>IFERROR(VLOOKUP(AW72,PREVAC!$AI$3:AQ248,4,FALSE),"¿?")</f>
        <v>¿?</v>
      </c>
      <c r="E72" s="181" t="str">
        <f>IFERROR(VLOOKUP(AW72,PREVAC!$AI$3:AQ248,5,FALSE),"¿?")</f>
        <v>¿?</v>
      </c>
      <c r="F72" s="307" t="str">
        <f>IFERROR(VLOOKUP(AW72,PREVAC!$AI$3:AQ248,6,FALSE),"¿?")</f>
        <v>¿?</v>
      </c>
      <c r="G72" s="307"/>
      <c r="H72" s="308" t="str">
        <f>IFERROR(VLOOKUP(AW72,PREVAC!$AI$3:AQ248,7,FALSE),"¿?")</f>
        <v>¿?</v>
      </c>
      <c r="I72" s="308"/>
      <c r="J72" s="308"/>
      <c r="K72" s="308"/>
      <c r="L72" s="308"/>
      <c r="M72" s="308" t="str">
        <f>IFERROR(VLOOKUP(AW72,PREVAC!$AI$3:AQ248,8,FALSE),"¿?")</f>
        <v>¿?</v>
      </c>
      <c r="N72" s="308"/>
      <c r="O72" s="308"/>
      <c r="P72" s="308"/>
      <c r="Q72" s="308"/>
      <c r="R72" s="308"/>
      <c r="S72" s="308"/>
      <c r="T72" s="308"/>
      <c r="U72" s="308"/>
      <c r="V72" s="308"/>
      <c r="W72" s="308"/>
      <c r="X72" s="308"/>
      <c r="Y72" s="308"/>
      <c r="Z72" s="308" t="str">
        <f>IFERROR(VLOOKUP(AW72,PREVAC!$AI$3:AQ248,9,FALSE),"¿?")</f>
        <v>¿?</v>
      </c>
      <c r="AA72" s="308"/>
      <c r="AB72" s="308"/>
      <c r="AD72" s="425"/>
      <c r="AE72" s="426"/>
      <c r="AF72" s="426"/>
      <c r="AG72" s="426"/>
      <c r="AH72" s="427"/>
      <c r="AI72" s="9"/>
      <c r="AW72" s="182" t="str">
        <f t="shared" si="4"/>
        <v>Alterno 1-GAP</v>
      </c>
    </row>
    <row r="73" spans="1:49" ht="39.9" customHeight="1" x14ac:dyDescent="0.3">
      <c r="A73" s="9"/>
      <c r="B73" s="305"/>
      <c r="C73" s="187" t="s">
        <v>409</v>
      </c>
      <c r="D73" s="181" t="str">
        <f>IFERROR(VLOOKUP(AW73,PREVAC!$AI$3:AQ249,4,FALSE),"¿?")</f>
        <v>¿?</v>
      </c>
      <c r="E73" s="181" t="str">
        <f>IFERROR(VLOOKUP(AW73,PREVAC!$AI$3:AQ249,5,FALSE),"¿?")</f>
        <v>¿?</v>
      </c>
      <c r="F73" s="307" t="str">
        <f>IFERROR(VLOOKUP(AW73,PREVAC!$AI$3:AQ249,6,FALSE),"¿?")</f>
        <v>¿?</v>
      </c>
      <c r="G73" s="307"/>
      <c r="H73" s="308" t="str">
        <f>IFERROR(VLOOKUP(AW73,PREVAC!$AI$3:AQ249,7,FALSE),"¿?")</f>
        <v>¿?</v>
      </c>
      <c r="I73" s="308"/>
      <c r="J73" s="308"/>
      <c r="K73" s="308"/>
      <c r="L73" s="308"/>
      <c r="M73" s="308" t="str">
        <f>IFERROR(VLOOKUP(AW73,PREVAC!$AI$3:AQ249,8,FALSE),"¿?")</f>
        <v>¿?</v>
      </c>
      <c r="N73" s="308"/>
      <c r="O73" s="308"/>
      <c r="P73" s="308"/>
      <c r="Q73" s="308"/>
      <c r="R73" s="308"/>
      <c r="S73" s="308"/>
      <c r="T73" s="308"/>
      <c r="U73" s="308"/>
      <c r="V73" s="308"/>
      <c r="W73" s="308"/>
      <c r="X73" s="308"/>
      <c r="Y73" s="308"/>
      <c r="Z73" s="308" t="str">
        <f>IFERROR(VLOOKUP(AW73,PREVAC!$AI$3:AQ249,9,FALSE),"¿?")</f>
        <v>¿?</v>
      </c>
      <c r="AA73" s="308"/>
      <c r="AB73" s="308"/>
      <c r="AD73" s="188" t="s">
        <v>410</v>
      </c>
      <c r="AE73" s="438" t="s">
        <v>713</v>
      </c>
      <c r="AF73" s="439"/>
      <c r="AG73" s="439"/>
      <c r="AH73" s="440"/>
      <c r="AI73" s="9"/>
      <c r="AW73" s="182" t="str">
        <f t="shared" si="4"/>
        <v>Alterno 1-CFIT</v>
      </c>
    </row>
    <row r="74" spans="1:49" ht="39.9" customHeight="1" x14ac:dyDescent="0.3">
      <c r="A74" s="9"/>
      <c r="B74" s="305"/>
      <c r="C74" s="187" t="s">
        <v>410</v>
      </c>
      <c r="D74" s="181" t="str">
        <f>IFERROR(VLOOKUP(AW74,PREVAC!$AI$3:AQ250,4,FALSE),"¿?")</f>
        <v>¿?</v>
      </c>
      <c r="E74" s="181" t="str">
        <f>IFERROR(VLOOKUP(AW74,PREVAC!$AI$3:AQ250,5,FALSE),"¿?")</f>
        <v>¿?</v>
      </c>
      <c r="F74" s="307" t="str">
        <f>IFERROR(VLOOKUP(AW74,PREVAC!$AI$3:AQ250,6,FALSE),"¿?")</f>
        <v>¿?</v>
      </c>
      <c r="G74" s="307"/>
      <c r="H74" s="308" t="str">
        <f>IFERROR(VLOOKUP(AW74,PREVAC!$AI$3:AQ250,7,FALSE),"¿?")</f>
        <v>¿?</v>
      </c>
      <c r="I74" s="308"/>
      <c r="J74" s="308"/>
      <c r="K74" s="308"/>
      <c r="L74" s="308"/>
      <c r="M74" s="308" t="str">
        <f>IFERROR(VLOOKUP(AW74,PREVAC!$AI$3:AQ250,8,FALSE),"¿?")</f>
        <v>¿?</v>
      </c>
      <c r="N74" s="308"/>
      <c r="O74" s="308"/>
      <c r="P74" s="308"/>
      <c r="Q74" s="308"/>
      <c r="R74" s="308"/>
      <c r="S74" s="308"/>
      <c r="T74" s="308"/>
      <c r="U74" s="308"/>
      <c r="V74" s="308"/>
      <c r="W74" s="308"/>
      <c r="X74" s="308"/>
      <c r="Y74" s="308"/>
      <c r="Z74" s="308" t="str">
        <f>IFERROR(VLOOKUP(AW74,PREVAC!$AI$3:AQ250,9,FALSE),"¿?")</f>
        <v>¿?</v>
      </c>
      <c r="AA74" s="308"/>
      <c r="AB74" s="308"/>
      <c r="AD74" s="419" t="s">
        <v>721</v>
      </c>
      <c r="AE74" s="420"/>
      <c r="AF74" s="420"/>
      <c r="AG74" s="420"/>
      <c r="AH74" s="421"/>
      <c r="AI74" s="9"/>
      <c r="AW74" s="182" t="str">
        <f t="shared" si="4"/>
        <v>Alterno 1-FOD</v>
      </c>
    </row>
    <row r="75" spans="1:49" ht="39.9" customHeight="1" x14ac:dyDescent="0.3">
      <c r="A75" s="9"/>
      <c r="B75" s="305" t="s">
        <v>515</v>
      </c>
      <c r="C75" s="187" t="s">
        <v>412</v>
      </c>
      <c r="D75" s="181" t="str">
        <f>IFERROR(VLOOKUP(AW75,PREVAC!$AI$3:AQ251,4,FALSE),"¿?")</f>
        <v>¿?</v>
      </c>
      <c r="E75" s="181" t="str">
        <f>IFERROR(VLOOKUP(AW75,PREVAC!$AI$3:AQ251,5,FALSE),"¿?")</f>
        <v>¿?</v>
      </c>
      <c r="F75" s="307" t="str">
        <f>IFERROR(VLOOKUP(AW75,PREVAC!$AI$3:AQ251,6,FALSE),"¿?")</f>
        <v>¿?</v>
      </c>
      <c r="G75" s="307"/>
      <c r="H75" s="308" t="str">
        <f>IFERROR(VLOOKUP(AW75,PREVAC!$AI$3:AQ251,7,FALSE),"¿?")</f>
        <v>¿?</v>
      </c>
      <c r="I75" s="308"/>
      <c r="J75" s="308"/>
      <c r="K75" s="308"/>
      <c r="L75" s="308"/>
      <c r="M75" s="308" t="str">
        <f>IFERROR(VLOOKUP(AW75,PREVAC!$AI$3:AQ251,8,FALSE),"¿?")</f>
        <v>¿?</v>
      </c>
      <c r="N75" s="308"/>
      <c r="O75" s="308"/>
      <c r="P75" s="308"/>
      <c r="Q75" s="308"/>
      <c r="R75" s="308"/>
      <c r="S75" s="308"/>
      <c r="T75" s="308"/>
      <c r="U75" s="308"/>
      <c r="V75" s="308"/>
      <c r="W75" s="308"/>
      <c r="X75" s="308"/>
      <c r="Y75" s="308"/>
      <c r="Z75" s="308" t="str">
        <f>IFERROR(VLOOKUP(AW75,PREVAC!$AI$3:AQ251,9,FALSE),"¿?")</f>
        <v>¿?</v>
      </c>
      <c r="AA75" s="308"/>
      <c r="AB75" s="308"/>
      <c r="AD75" s="422"/>
      <c r="AE75" s="423"/>
      <c r="AF75" s="423"/>
      <c r="AG75" s="423"/>
      <c r="AH75" s="424"/>
      <c r="AI75" s="9"/>
      <c r="AW75" s="182" t="str">
        <f t="shared" si="4"/>
        <v>Alterno 1-RIP</v>
      </c>
    </row>
    <row r="76" spans="1:49" ht="39.9" customHeight="1" x14ac:dyDescent="0.3">
      <c r="A76" s="9"/>
      <c r="B76" s="306"/>
      <c r="C76" s="187" t="s">
        <v>411</v>
      </c>
      <c r="D76" s="181" t="str">
        <f>IFERROR(VLOOKUP(AW76,PREVAC!$AI$3:AQ252,4,FALSE),"¿?")</f>
        <v>¿?</v>
      </c>
      <c r="E76" s="181" t="str">
        <f>IFERROR(VLOOKUP(AW76,PREVAC!$AI$3:AQ252,5,FALSE),"¿?")</f>
        <v>¿?</v>
      </c>
      <c r="F76" s="307" t="str">
        <f>IFERROR(VLOOKUP(AW76,PREVAC!$AI$3:AQ252,6,FALSE),"¿?")</f>
        <v>¿?</v>
      </c>
      <c r="G76" s="307"/>
      <c r="H76" s="308" t="str">
        <f>IFERROR(VLOOKUP(AW76,PREVAC!$AI$3:AQ252,7,FALSE),"¿?")</f>
        <v>¿?</v>
      </c>
      <c r="I76" s="308"/>
      <c r="J76" s="308"/>
      <c r="K76" s="308"/>
      <c r="L76" s="308"/>
      <c r="M76" s="308" t="str">
        <f>IFERROR(VLOOKUP(AW76,PREVAC!$AI$3:AQ252,8,FALSE),"¿?")</f>
        <v>¿?</v>
      </c>
      <c r="N76" s="308"/>
      <c r="O76" s="308"/>
      <c r="P76" s="308"/>
      <c r="Q76" s="308"/>
      <c r="R76" s="308"/>
      <c r="S76" s="308"/>
      <c r="T76" s="308"/>
      <c r="U76" s="308"/>
      <c r="V76" s="308"/>
      <c r="W76" s="308"/>
      <c r="X76" s="308"/>
      <c r="Y76" s="308"/>
      <c r="Z76" s="308" t="str">
        <f>IFERROR(VLOOKUP(AW76,PREVAC!$AI$3:AQ252,9,FALSE),"¿?")</f>
        <v>¿?</v>
      </c>
      <c r="AA76" s="308"/>
      <c r="AB76" s="308"/>
      <c r="AD76" s="425"/>
      <c r="AE76" s="426"/>
      <c r="AF76" s="426"/>
      <c r="AG76" s="426"/>
      <c r="AH76" s="427"/>
      <c r="AI76" s="9"/>
      <c r="AW76" s="182" t="str">
        <f t="shared" si="4"/>
        <v>Alterno 1-ALAR</v>
      </c>
    </row>
    <row r="77" spans="1:49" ht="39.9" customHeight="1" x14ac:dyDescent="0.3">
      <c r="A77" s="9"/>
      <c r="B77" s="310"/>
      <c r="C77" s="310"/>
      <c r="D77" s="310"/>
      <c r="E77" s="310"/>
      <c r="F77" s="310"/>
      <c r="G77" s="310"/>
      <c r="H77" s="310"/>
      <c r="I77" s="310"/>
      <c r="J77" s="310"/>
      <c r="K77" s="310"/>
      <c r="L77" s="310"/>
      <c r="M77" s="310"/>
      <c r="N77" s="310"/>
      <c r="O77" s="310"/>
      <c r="P77" s="310"/>
      <c r="Q77" s="310"/>
      <c r="R77" s="310"/>
      <c r="S77" s="310"/>
      <c r="T77" s="310"/>
      <c r="U77" s="310"/>
      <c r="V77" s="310"/>
      <c r="W77" s="310"/>
      <c r="X77" s="310"/>
      <c r="Y77" s="310"/>
      <c r="Z77" s="310"/>
      <c r="AA77" s="310"/>
      <c r="AB77" s="310"/>
      <c r="AD77" s="188" t="s">
        <v>412</v>
      </c>
      <c r="AE77" s="438" t="s">
        <v>714</v>
      </c>
      <c r="AF77" s="439"/>
      <c r="AG77" s="439"/>
      <c r="AH77" s="440"/>
      <c r="AI77" s="9"/>
      <c r="AW77" s="182"/>
    </row>
    <row r="78" spans="1:49" ht="39.9" customHeight="1" x14ac:dyDescent="0.3">
      <c r="A78" s="9"/>
      <c r="B78" s="311" t="str">
        <f>R29</f>
        <v>⦿</v>
      </c>
      <c r="C78" s="189" t="s">
        <v>406</v>
      </c>
      <c r="D78" s="181" t="str">
        <f>IFERROR(VLOOKUP(AW78,PREVAC!$AI$3:AQ254,4,FALSE),"¿?")</f>
        <v>¿?</v>
      </c>
      <c r="E78" s="181" t="str">
        <f>IFERROR(VLOOKUP(AW78,PREVAC!$AI$3:AQ254,5,FALSE),"¿?")</f>
        <v>¿?</v>
      </c>
      <c r="F78" s="307" t="str">
        <f>IFERROR(VLOOKUP(AW78,PREVAC!$AI$3:AQ254,6,FALSE),"¿?")</f>
        <v>¿?</v>
      </c>
      <c r="G78" s="307"/>
      <c r="H78" s="308" t="str">
        <f>IFERROR(VLOOKUP(AW78,PREVAC!$AI$3:AQ254,7,FALSE),"¿?")</f>
        <v>¿?</v>
      </c>
      <c r="I78" s="308"/>
      <c r="J78" s="308"/>
      <c r="K78" s="308"/>
      <c r="L78" s="308"/>
      <c r="M78" s="308" t="str">
        <f>IFERROR(VLOOKUP(AW78,PREVAC!$AI$3:AQ254,8,FALSE),"¿?")</f>
        <v>¿?</v>
      </c>
      <c r="N78" s="308"/>
      <c r="O78" s="308"/>
      <c r="P78" s="308"/>
      <c r="Q78" s="308"/>
      <c r="R78" s="308"/>
      <c r="S78" s="308"/>
      <c r="T78" s="308"/>
      <c r="U78" s="308"/>
      <c r="V78" s="308"/>
      <c r="W78" s="308"/>
      <c r="X78" s="308"/>
      <c r="Y78" s="308"/>
      <c r="Z78" s="308" t="str">
        <f>IFERROR(VLOOKUP(AW78,PREVAC!$AI$3:AQ254,9,FALSE),"¿?")</f>
        <v>¿?</v>
      </c>
      <c r="AA78" s="308"/>
      <c r="AB78" s="308"/>
      <c r="AD78" s="419" t="s">
        <v>722</v>
      </c>
      <c r="AE78" s="420"/>
      <c r="AF78" s="420"/>
      <c r="AG78" s="420"/>
      <c r="AH78" s="421"/>
      <c r="AI78" s="9"/>
      <c r="AW78" s="182" t="str">
        <f t="shared" ref="AW78:AW84" si="5">CONCATENATE($B$80,"-",C78)</f>
        <v>Alterno 2-MACA</v>
      </c>
    </row>
    <row r="79" spans="1:49" ht="39.9" customHeight="1" x14ac:dyDescent="0.3">
      <c r="A79" s="9"/>
      <c r="B79" s="312"/>
      <c r="C79" s="189" t="s">
        <v>407</v>
      </c>
      <c r="D79" s="181" t="str">
        <f>IFERROR(VLOOKUP(AW79,PREVAC!$AI$3:AQ255,4,FALSE),"¿?")</f>
        <v>¿?</v>
      </c>
      <c r="E79" s="181" t="str">
        <f>IFERROR(VLOOKUP(AW79,PREVAC!$AI$3:AQ255,5,FALSE),"¿?")</f>
        <v>¿?</v>
      </c>
      <c r="F79" s="307" t="str">
        <f>IFERROR(VLOOKUP(AW79,PREVAC!$AI$3:AQ255,6,FALSE),"¿?")</f>
        <v>¿?</v>
      </c>
      <c r="G79" s="307"/>
      <c r="H79" s="308" t="str">
        <f>IFERROR(VLOOKUP(AW79,PREVAC!$AI$3:AQ255,7,FALSE),"¿?")</f>
        <v>¿?</v>
      </c>
      <c r="I79" s="308"/>
      <c r="J79" s="308"/>
      <c r="K79" s="308"/>
      <c r="L79" s="308"/>
      <c r="M79" s="308" t="str">
        <f>IFERROR(VLOOKUP(AW79,PREVAC!$AI$3:AQ255,8,FALSE),"¿?")</f>
        <v>¿?</v>
      </c>
      <c r="N79" s="308"/>
      <c r="O79" s="308"/>
      <c r="P79" s="308"/>
      <c r="Q79" s="308"/>
      <c r="R79" s="308"/>
      <c r="S79" s="308"/>
      <c r="T79" s="308"/>
      <c r="U79" s="308"/>
      <c r="V79" s="308"/>
      <c r="W79" s="308"/>
      <c r="X79" s="308"/>
      <c r="Y79" s="308"/>
      <c r="Z79" s="308" t="str">
        <f>IFERROR(VLOOKUP(AW79,PREVAC!$AI$3:AQ255,9,FALSE),"¿?")</f>
        <v>¿?</v>
      </c>
      <c r="AA79" s="308"/>
      <c r="AB79" s="308"/>
      <c r="AD79" s="422"/>
      <c r="AE79" s="423"/>
      <c r="AF79" s="423"/>
      <c r="AG79" s="423"/>
      <c r="AH79" s="424"/>
      <c r="AI79" s="9"/>
      <c r="AW79" s="182" t="str">
        <f t="shared" si="5"/>
        <v>Alterno 2-BASH</v>
      </c>
    </row>
    <row r="80" spans="1:49" ht="39.9" customHeight="1" x14ac:dyDescent="0.3">
      <c r="A80" s="9"/>
      <c r="B80" s="309" t="str">
        <f>IF(L9=0,"Alterno 2",L9)</f>
        <v>Alterno 2</v>
      </c>
      <c r="C80" s="189" t="s">
        <v>408</v>
      </c>
      <c r="D80" s="181" t="str">
        <f>IFERROR(VLOOKUP(AW80,PREVAC!$AI$3:AQ256,4,FALSE),"¿?")</f>
        <v>¿?</v>
      </c>
      <c r="E80" s="181" t="str">
        <f>IFERROR(VLOOKUP(AW80,PREVAC!$AI$3:AQ256,5,FALSE),"¿?")</f>
        <v>¿?</v>
      </c>
      <c r="F80" s="307" t="str">
        <f>IFERROR(VLOOKUP(AW80,PREVAC!$AI$3:AQ256,6,FALSE),"¿?")</f>
        <v>¿?</v>
      </c>
      <c r="G80" s="307"/>
      <c r="H80" s="308" t="str">
        <f>IFERROR(VLOOKUP(AW80,PREVAC!$AI$3:AQ256,7,FALSE),"¿?")</f>
        <v>¿?</v>
      </c>
      <c r="I80" s="308"/>
      <c r="J80" s="308"/>
      <c r="K80" s="308"/>
      <c r="L80" s="308"/>
      <c r="M80" s="308" t="str">
        <f>IFERROR(VLOOKUP(AW80,PREVAC!$AI$3:AQ256,8,FALSE),"¿?")</f>
        <v>¿?</v>
      </c>
      <c r="N80" s="308"/>
      <c r="O80" s="308"/>
      <c r="P80" s="308"/>
      <c r="Q80" s="308"/>
      <c r="R80" s="308"/>
      <c r="S80" s="308"/>
      <c r="T80" s="308"/>
      <c r="U80" s="308"/>
      <c r="V80" s="308"/>
      <c r="W80" s="308"/>
      <c r="X80" s="308"/>
      <c r="Y80" s="308"/>
      <c r="Z80" s="308" t="str">
        <f>IFERROR(VLOOKUP(AW80,PREVAC!$AI$3:AQ256,9,FALSE),"¿?")</f>
        <v>¿?</v>
      </c>
      <c r="AA80" s="308"/>
      <c r="AB80" s="308"/>
      <c r="AD80" s="425"/>
      <c r="AE80" s="426"/>
      <c r="AF80" s="426"/>
      <c r="AG80" s="426"/>
      <c r="AH80" s="427"/>
      <c r="AI80" s="9"/>
      <c r="AW80" s="182" t="str">
        <f t="shared" si="5"/>
        <v>Alterno 2-GAP</v>
      </c>
    </row>
    <row r="81" spans="1:49" ht="39.9" customHeight="1" x14ac:dyDescent="0.3">
      <c r="A81" s="9"/>
      <c r="B81" s="305"/>
      <c r="C81" s="190" t="s">
        <v>409</v>
      </c>
      <c r="D81" s="181" t="str">
        <f>IFERROR(VLOOKUP(AW81,PREVAC!$AI$3:AQ257,4,FALSE),"¿?")</f>
        <v>¿?</v>
      </c>
      <c r="E81" s="181" t="str">
        <f>IFERROR(VLOOKUP(AW81,PREVAC!$AI$3:AQ257,5,FALSE),"¿?")</f>
        <v>¿?</v>
      </c>
      <c r="F81" s="307" t="str">
        <f>IFERROR(VLOOKUP(AW81,PREVAC!$AI$3:AQ257,6,FALSE),"¿?")</f>
        <v>¿?</v>
      </c>
      <c r="G81" s="307"/>
      <c r="H81" s="308" t="str">
        <f>IFERROR(VLOOKUP(AW81,PREVAC!$AI$3:AQ257,7,FALSE),"¿?")</f>
        <v>¿?</v>
      </c>
      <c r="I81" s="308"/>
      <c r="J81" s="308"/>
      <c r="K81" s="308"/>
      <c r="L81" s="308"/>
      <c r="M81" s="308" t="str">
        <f>IFERROR(VLOOKUP(AW81,PREVAC!$AI$3:AQ257,8,FALSE),"¿?")</f>
        <v>¿?</v>
      </c>
      <c r="N81" s="308"/>
      <c r="O81" s="308"/>
      <c r="P81" s="308"/>
      <c r="Q81" s="308"/>
      <c r="R81" s="308"/>
      <c r="S81" s="308"/>
      <c r="T81" s="308"/>
      <c r="U81" s="308"/>
      <c r="V81" s="308"/>
      <c r="W81" s="308"/>
      <c r="X81" s="308"/>
      <c r="Y81" s="308"/>
      <c r="Z81" s="308" t="str">
        <f>IFERROR(VLOOKUP(AW81,PREVAC!$AI$3:AQ257,9,FALSE),"¿?")</f>
        <v>¿?</v>
      </c>
      <c r="AA81" s="308"/>
      <c r="AB81" s="308"/>
      <c r="AD81" s="188" t="s">
        <v>411</v>
      </c>
      <c r="AE81" s="438" t="s">
        <v>715</v>
      </c>
      <c r="AF81" s="439"/>
      <c r="AG81" s="439"/>
      <c r="AH81" s="440"/>
      <c r="AI81" s="9"/>
      <c r="AW81" s="182" t="str">
        <f t="shared" si="5"/>
        <v>Alterno 2-CFIT</v>
      </c>
    </row>
    <row r="82" spans="1:49" ht="39.9" customHeight="1" x14ac:dyDescent="0.3">
      <c r="A82" s="9"/>
      <c r="B82" s="305"/>
      <c r="C82" s="190" t="s">
        <v>410</v>
      </c>
      <c r="D82" s="181" t="str">
        <f>IFERROR(VLOOKUP(AW82,PREVAC!$AI$3:AQ258,4,FALSE),"¿?")</f>
        <v>¿?</v>
      </c>
      <c r="E82" s="181" t="str">
        <f>IFERROR(VLOOKUP(AW82,PREVAC!$AI$3:AQ258,5,FALSE),"¿?")</f>
        <v>¿?</v>
      </c>
      <c r="F82" s="307" t="str">
        <f>IFERROR(VLOOKUP(AW82,PREVAC!$AI$3:AQ258,6,FALSE),"¿?")</f>
        <v>¿?</v>
      </c>
      <c r="G82" s="307"/>
      <c r="H82" s="308" t="str">
        <f>IFERROR(VLOOKUP(AW82,PREVAC!$AI$3:AQ258,7,FALSE),"¿?")</f>
        <v>¿?</v>
      </c>
      <c r="I82" s="308"/>
      <c r="J82" s="308"/>
      <c r="K82" s="308"/>
      <c r="L82" s="308"/>
      <c r="M82" s="308" t="str">
        <f>IFERROR(VLOOKUP(AW82,PREVAC!$AI$3:AQ258,8,FALSE),"¿?")</f>
        <v>¿?</v>
      </c>
      <c r="N82" s="308"/>
      <c r="O82" s="308"/>
      <c r="P82" s="308"/>
      <c r="Q82" s="308"/>
      <c r="R82" s="308"/>
      <c r="S82" s="308"/>
      <c r="T82" s="308"/>
      <c r="U82" s="308"/>
      <c r="V82" s="308"/>
      <c r="W82" s="308"/>
      <c r="X82" s="308"/>
      <c r="Y82" s="308"/>
      <c r="Z82" s="308" t="str">
        <f>IFERROR(VLOOKUP(AW82,PREVAC!$AI$3:AQ258,9,FALSE),"¿?")</f>
        <v>¿?</v>
      </c>
      <c r="AA82" s="308"/>
      <c r="AB82" s="308"/>
      <c r="AD82" s="419" t="s">
        <v>723</v>
      </c>
      <c r="AE82" s="420"/>
      <c r="AF82" s="420"/>
      <c r="AG82" s="420"/>
      <c r="AH82" s="421"/>
      <c r="AI82" s="9"/>
      <c r="AW82" s="182" t="str">
        <f t="shared" si="5"/>
        <v>Alterno 2-FOD</v>
      </c>
    </row>
    <row r="83" spans="1:49" ht="39.9" customHeight="1" x14ac:dyDescent="0.3">
      <c r="A83" s="9"/>
      <c r="B83" s="305" t="s">
        <v>516</v>
      </c>
      <c r="C83" s="190" t="s">
        <v>412</v>
      </c>
      <c r="D83" s="181" t="str">
        <f>IFERROR(VLOOKUP(AW83,PREVAC!$AI$3:AQ259,4,FALSE),"¿?")</f>
        <v>¿?</v>
      </c>
      <c r="E83" s="181" t="str">
        <f>IFERROR(VLOOKUP(AW83,PREVAC!$AI$3:AQ259,5,FALSE),"¿?")</f>
        <v>¿?</v>
      </c>
      <c r="F83" s="307" t="str">
        <f>IFERROR(VLOOKUP(AW83,PREVAC!$AI$3:AQ259,6,FALSE),"¿?")</f>
        <v>¿?</v>
      </c>
      <c r="G83" s="307"/>
      <c r="H83" s="308" t="str">
        <f>IFERROR(VLOOKUP(AW83,PREVAC!$AI$3:AQ259,7,FALSE),"¿?")</f>
        <v>¿?</v>
      </c>
      <c r="I83" s="308"/>
      <c r="J83" s="308"/>
      <c r="K83" s="308"/>
      <c r="L83" s="308"/>
      <c r="M83" s="308" t="str">
        <f>IFERROR(VLOOKUP(AW83,PREVAC!$AI$3:AQ259,8,FALSE),"¿?")</f>
        <v>¿?</v>
      </c>
      <c r="N83" s="308"/>
      <c r="O83" s="308"/>
      <c r="P83" s="308"/>
      <c r="Q83" s="308"/>
      <c r="R83" s="308"/>
      <c r="S83" s="308"/>
      <c r="T83" s="308"/>
      <c r="U83" s="308"/>
      <c r="V83" s="308"/>
      <c r="W83" s="308"/>
      <c r="X83" s="308"/>
      <c r="Y83" s="308"/>
      <c r="Z83" s="308" t="str">
        <f>IFERROR(VLOOKUP(AW83,PREVAC!$AI$3:AQ259,9,FALSE),"¿?")</f>
        <v>¿?</v>
      </c>
      <c r="AA83" s="308"/>
      <c r="AB83" s="308"/>
      <c r="AD83" s="422"/>
      <c r="AE83" s="423"/>
      <c r="AF83" s="423"/>
      <c r="AG83" s="423"/>
      <c r="AH83" s="424"/>
      <c r="AI83" s="9"/>
      <c r="AW83" s="182" t="str">
        <f t="shared" si="5"/>
        <v>Alterno 2-RIP</v>
      </c>
    </row>
    <row r="84" spans="1:49" ht="39.9" customHeight="1" x14ac:dyDescent="0.3">
      <c r="A84" s="9"/>
      <c r="B84" s="306"/>
      <c r="C84" s="190" t="s">
        <v>411</v>
      </c>
      <c r="D84" s="181" t="str">
        <f>IFERROR(VLOOKUP(AW84,PREVAC!$AI$3:AQ260,4,FALSE),"¿?")</f>
        <v>¿?</v>
      </c>
      <c r="E84" s="181" t="str">
        <f>IFERROR(VLOOKUP(AW84,PREVAC!$AI$3:AQ260,5,FALSE),"¿?")</f>
        <v>¿?</v>
      </c>
      <c r="F84" s="307" t="str">
        <f>IFERROR(VLOOKUP(AW84,PREVAC!$AI$3:AQ260,6,FALSE),"¿?")</f>
        <v>¿?</v>
      </c>
      <c r="G84" s="307"/>
      <c r="H84" s="308" t="str">
        <f>IFERROR(VLOOKUP(AW84,PREVAC!$AI$3:AQ260,7,FALSE),"¿?")</f>
        <v>¿?</v>
      </c>
      <c r="I84" s="308"/>
      <c r="J84" s="308"/>
      <c r="K84" s="308"/>
      <c r="L84" s="308"/>
      <c r="M84" s="308" t="str">
        <f>IFERROR(VLOOKUP(AW84,PREVAC!$AI$3:AQ260,8,FALSE),"¿?")</f>
        <v>¿?</v>
      </c>
      <c r="N84" s="308"/>
      <c r="O84" s="308"/>
      <c r="P84" s="308"/>
      <c r="Q84" s="308"/>
      <c r="R84" s="308"/>
      <c r="S84" s="308"/>
      <c r="T84" s="308"/>
      <c r="U84" s="308"/>
      <c r="V84" s="308"/>
      <c r="W84" s="308"/>
      <c r="X84" s="308"/>
      <c r="Y84" s="308"/>
      <c r="Z84" s="308" t="str">
        <f>IFERROR(VLOOKUP(AW84,PREVAC!$AI$3:AQ260,9,FALSE),"¿?")</f>
        <v>¿?</v>
      </c>
      <c r="AA84" s="308"/>
      <c r="AB84" s="308"/>
      <c r="AD84" s="425"/>
      <c r="AE84" s="426"/>
      <c r="AF84" s="426"/>
      <c r="AG84" s="426"/>
      <c r="AH84" s="427"/>
      <c r="AI84" s="9"/>
      <c r="AW84" s="182" t="str">
        <f t="shared" si="5"/>
        <v>Alterno 2-ALAR</v>
      </c>
    </row>
    <row r="85" spans="1:49" ht="27" customHeight="1" x14ac:dyDescent="0.3">
      <c r="A85" s="9"/>
      <c r="B85" s="9"/>
      <c r="C85" s="9"/>
      <c r="D85" s="9"/>
      <c r="E85" s="9"/>
      <c r="F85" s="9"/>
      <c r="G85" s="9"/>
      <c r="H85" s="9"/>
      <c r="I85" s="9"/>
      <c r="J85" s="9"/>
      <c r="K85" s="9"/>
      <c r="L85" s="10"/>
      <c r="M85" s="10"/>
      <c r="N85" s="10"/>
      <c r="O85" s="10"/>
      <c r="P85" s="9"/>
      <c r="Q85" s="10"/>
      <c r="R85" s="10"/>
      <c r="S85" s="10"/>
      <c r="T85" s="10"/>
      <c r="U85" s="10"/>
      <c r="V85" s="10"/>
      <c r="W85" s="9"/>
      <c r="X85" s="9"/>
      <c r="Y85" s="9"/>
      <c r="Z85" s="9"/>
      <c r="AA85" s="9"/>
      <c r="AB85" s="9"/>
      <c r="AD85" s="485"/>
      <c r="AE85" s="485"/>
      <c r="AF85" s="485"/>
      <c r="AG85" s="485"/>
      <c r="AH85" s="485"/>
      <c r="AI85" s="9"/>
    </row>
  </sheetData>
  <sheetProtection algorithmName="SHA-512" hashValue="vhSzqtdIK/7gik3Rowgp4BzygjlydUoCMe/1BHrZUsuTVo94jkv0EimxZLerXqLIH8Ot425dJ6PK54dOk3hU4g==" saltValue="OUFX8WdQt/6h+hKo9iE2tg==" spinCount="100000" sheet="1" selectLockedCells="1"/>
  <mergeCells count="290">
    <mergeCell ref="AD85:AH85"/>
    <mergeCell ref="AE57:AH57"/>
    <mergeCell ref="AE61:AH61"/>
    <mergeCell ref="AE65:AH65"/>
    <mergeCell ref="AE69:AH69"/>
    <mergeCell ref="AE73:AH73"/>
    <mergeCell ref="AE77:AH77"/>
    <mergeCell ref="AE81:AH81"/>
    <mergeCell ref="AD54:AH56"/>
    <mergeCell ref="AD58:AH60"/>
    <mergeCell ref="AD62:AH64"/>
    <mergeCell ref="AD66:AH68"/>
    <mergeCell ref="AD70:AH72"/>
    <mergeCell ref="AD74:AH76"/>
    <mergeCell ref="AD78:AH80"/>
    <mergeCell ref="AD82:AH84"/>
    <mergeCell ref="AD52:AH52"/>
    <mergeCell ref="AD2:AH5"/>
    <mergeCell ref="AD47:AH50"/>
    <mergeCell ref="AD53:AH53"/>
    <mergeCell ref="U44:V44"/>
    <mergeCell ref="U40:V43"/>
    <mergeCell ref="U36:V39"/>
    <mergeCell ref="U34:V35"/>
    <mergeCell ref="U31:V32"/>
    <mergeCell ref="U33:V33"/>
    <mergeCell ref="V19:V20"/>
    <mergeCell ref="U19:U20"/>
    <mergeCell ref="U45:V45"/>
    <mergeCell ref="AH13:AH18"/>
    <mergeCell ref="AD41:AH45"/>
    <mergeCell ref="N36:O39"/>
    <mergeCell ref="Q19:Q20"/>
    <mergeCell ref="T19:T20"/>
    <mergeCell ref="T29:T30"/>
    <mergeCell ref="S29:S30"/>
    <mergeCell ref="S44:T44"/>
    <mergeCell ref="S45:T45"/>
    <mergeCell ref="N19:O19"/>
    <mergeCell ref="N22:O22"/>
    <mergeCell ref="N23:O23"/>
    <mergeCell ref="N24:O24"/>
    <mergeCell ref="R19:R20"/>
    <mergeCell ref="N45:O45"/>
    <mergeCell ref="N44:O44"/>
    <mergeCell ref="N40:O43"/>
    <mergeCell ref="S34:T35"/>
    <mergeCell ref="S36:T39"/>
    <mergeCell ref="AT22:AW23"/>
    <mergeCell ref="B22:E22"/>
    <mergeCell ref="F22:G22"/>
    <mergeCell ref="H22:I22"/>
    <mergeCell ref="Y23:AB23"/>
    <mergeCell ref="L22:M22"/>
    <mergeCell ref="Y24:AB43"/>
    <mergeCell ref="N34:O35"/>
    <mergeCell ref="N33:O33"/>
    <mergeCell ref="Q29:Q30"/>
    <mergeCell ref="S40:T43"/>
    <mergeCell ref="S31:T32"/>
    <mergeCell ref="S33:T33"/>
    <mergeCell ref="Q33:R33"/>
    <mergeCell ref="R29:R30"/>
    <mergeCell ref="B34:E35"/>
    <mergeCell ref="K36:M39"/>
    <mergeCell ref="U29:U30"/>
    <mergeCell ref="V29:V30"/>
    <mergeCell ref="B40:E43"/>
    <mergeCell ref="B36:E37"/>
    <mergeCell ref="F36:I37"/>
    <mergeCell ref="L34:M35"/>
    <mergeCell ref="K34:K35"/>
    <mergeCell ref="AJ20:AM21"/>
    <mergeCell ref="AO20:AR21"/>
    <mergeCell ref="N20:O20"/>
    <mergeCell ref="B21:E21"/>
    <mergeCell ref="F21:I21"/>
    <mergeCell ref="Y21:AB21"/>
    <mergeCell ref="AJ22:AM23"/>
    <mergeCell ref="AO22:AR23"/>
    <mergeCell ref="K33:M33"/>
    <mergeCell ref="F33:I33"/>
    <mergeCell ref="H26:I26"/>
    <mergeCell ref="H27:I27"/>
    <mergeCell ref="B33:E33"/>
    <mergeCell ref="B28:E28"/>
    <mergeCell ref="F28:I28"/>
    <mergeCell ref="B30:I30"/>
    <mergeCell ref="L20:M20"/>
    <mergeCell ref="L24:M24"/>
    <mergeCell ref="L23:M23"/>
    <mergeCell ref="K21:M21"/>
    <mergeCell ref="S19:S20"/>
    <mergeCell ref="L19:M19"/>
    <mergeCell ref="AJ7:AK7"/>
    <mergeCell ref="B8:C8"/>
    <mergeCell ref="D8:E8"/>
    <mergeCell ref="B9:C9"/>
    <mergeCell ref="D9:E9"/>
    <mergeCell ref="F9:G9"/>
    <mergeCell ref="H9:I9"/>
    <mergeCell ref="F8:G8"/>
    <mergeCell ref="H8:I8"/>
    <mergeCell ref="L8:M8"/>
    <mergeCell ref="L9:M9"/>
    <mergeCell ref="U8:V9"/>
    <mergeCell ref="Q8:R10"/>
    <mergeCell ref="B2:C5"/>
    <mergeCell ref="D4:AA5"/>
    <mergeCell ref="D2:AA2"/>
    <mergeCell ref="D3:AA3"/>
    <mergeCell ref="B6:AB6"/>
    <mergeCell ref="AG17:AG18"/>
    <mergeCell ref="AG15:AG16"/>
    <mergeCell ref="AG13:AG14"/>
    <mergeCell ref="N18:O18"/>
    <mergeCell ref="Z9:AB9"/>
    <mergeCell ref="B7:AB7"/>
    <mergeCell ref="S8:T9"/>
    <mergeCell ref="B10:I10"/>
    <mergeCell ref="B11:E11"/>
    <mergeCell ref="B15:I15"/>
    <mergeCell ref="B16:C16"/>
    <mergeCell ref="D16:E16"/>
    <mergeCell ref="F11:G11"/>
    <mergeCell ref="H11:I11"/>
    <mergeCell ref="K10:M10"/>
    <mergeCell ref="L18:M18"/>
    <mergeCell ref="L17:M17"/>
    <mergeCell ref="L16:M16"/>
    <mergeCell ref="N16:O16"/>
    <mergeCell ref="Z63:AB63"/>
    <mergeCell ref="N17:O17"/>
    <mergeCell ref="F16:G16"/>
    <mergeCell ref="H16:I16"/>
    <mergeCell ref="K15:M15"/>
    <mergeCell ref="B44:E44"/>
    <mergeCell ref="F44:I44"/>
    <mergeCell ref="K40:M43"/>
    <mergeCell ref="F34:I35"/>
    <mergeCell ref="F53:G53"/>
    <mergeCell ref="F45:I45"/>
    <mergeCell ref="F40:I43"/>
    <mergeCell ref="B31:I32"/>
    <mergeCell ref="Q45:R45"/>
    <mergeCell ref="Q44:R44"/>
    <mergeCell ref="Q40:R43"/>
    <mergeCell ref="Q36:R39"/>
    <mergeCell ref="Q34:R35"/>
    <mergeCell ref="Q31:R32"/>
    <mergeCell ref="B45:E45"/>
    <mergeCell ref="B38:E39"/>
    <mergeCell ref="F38:I39"/>
    <mergeCell ref="K45:M45"/>
    <mergeCell ref="K44:M44"/>
    <mergeCell ref="M62:Y62"/>
    <mergeCell ref="B47:C50"/>
    <mergeCell ref="D47:AA47"/>
    <mergeCell ref="D48:AA48"/>
    <mergeCell ref="D49:AA50"/>
    <mergeCell ref="B51:AB51"/>
    <mergeCell ref="B52:AB52"/>
    <mergeCell ref="Z53:AB53"/>
    <mergeCell ref="Z54:AB54"/>
    <mergeCell ref="Z55:AB55"/>
    <mergeCell ref="M54:Y54"/>
    <mergeCell ref="H55:L55"/>
    <mergeCell ref="M55:Y55"/>
    <mergeCell ref="H56:L56"/>
    <mergeCell ref="H57:L57"/>
    <mergeCell ref="H53:Y53"/>
    <mergeCell ref="D53:E53"/>
    <mergeCell ref="H54:L54"/>
    <mergeCell ref="B54:B55"/>
    <mergeCell ref="B61:AB61"/>
    <mergeCell ref="Z62:AB62"/>
    <mergeCell ref="B56:B58"/>
    <mergeCell ref="B62:B63"/>
    <mergeCell ref="M63:Y63"/>
    <mergeCell ref="F55:G55"/>
    <mergeCell ref="F54:G54"/>
    <mergeCell ref="Z56:AB56"/>
    <mergeCell ref="Z57:AB57"/>
    <mergeCell ref="Z58:AB58"/>
    <mergeCell ref="Z59:AB59"/>
    <mergeCell ref="Z60:AB60"/>
    <mergeCell ref="F58:G58"/>
    <mergeCell ref="F57:G57"/>
    <mergeCell ref="F56:G56"/>
    <mergeCell ref="M56:Y56"/>
    <mergeCell ref="M57:Y57"/>
    <mergeCell ref="M58:Y58"/>
    <mergeCell ref="M59:Y59"/>
    <mergeCell ref="M60:Y60"/>
    <mergeCell ref="H58:L58"/>
    <mergeCell ref="H59:L59"/>
    <mergeCell ref="H60:L60"/>
    <mergeCell ref="F83:G83"/>
    <mergeCell ref="F81:G81"/>
    <mergeCell ref="F82:G82"/>
    <mergeCell ref="B69:AB69"/>
    <mergeCell ref="B77:AB77"/>
    <mergeCell ref="F78:G78"/>
    <mergeCell ref="F79:G79"/>
    <mergeCell ref="F80:G80"/>
    <mergeCell ref="F75:G75"/>
    <mergeCell ref="F76:G76"/>
    <mergeCell ref="F73:G73"/>
    <mergeCell ref="F74:G74"/>
    <mergeCell ref="F70:G70"/>
    <mergeCell ref="F71:G71"/>
    <mergeCell ref="F72:G72"/>
    <mergeCell ref="Z74:AB74"/>
    <mergeCell ref="H70:L70"/>
    <mergeCell ref="M70:Y70"/>
    <mergeCell ref="Z70:AB70"/>
    <mergeCell ref="B83:B84"/>
    <mergeCell ref="H83:L83"/>
    <mergeCell ref="M83:Y83"/>
    <mergeCell ref="Z83:AB83"/>
    <mergeCell ref="H84:L84"/>
    <mergeCell ref="B59:B60"/>
    <mergeCell ref="F60:G60"/>
    <mergeCell ref="F59:G59"/>
    <mergeCell ref="H64:L64"/>
    <mergeCell ref="H65:L65"/>
    <mergeCell ref="H66:L66"/>
    <mergeCell ref="F64:G64"/>
    <mergeCell ref="F65:G65"/>
    <mergeCell ref="F62:G62"/>
    <mergeCell ref="F63:G63"/>
    <mergeCell ref="H62:L62"/>
    <mergeCell ref="H63:L63"/>
    <mergeCell ref="M66:Y66"/>
    <mergeCell ref="Z66:AB66"/>
    <mergeCell ref="F66:G66"/>
    <mergeCell ref="B67:B68"/>
    <mergeCell ref="H67:L67"/>
    <mergeCell ref="M67:Y67"/>
    <mergeCell ref="Z67:AB67"/>
    <mergeCell ref="H68:L68"/>
    <mergeCell ref="M68:Y68"/>
    <mergeCell ref="Z68:AB68"/>
    <mergeCell ref="F68:G68"/>
    <mergeCell ref="F67:G67"/>
    <mergeCell ref="B64:B66"/>
    <mergeCell ref="M64:Y64"/>
    <mergeCell ref="Z64:AB64"/>
    <mergeCell ref="M65:Y65"/>
    <mergeCell ref="Z65:AB65"/>
    <mergeCell ref="H81:L81"/>
    <mergeCell ref="M81:Y81"/>
    <mergeCell ref="Z81:AB81"/>
    <mergeCell ref="M84:Y84"/>
    <mergeCell ref="Z84:AB84"/>
    <mergeCell ref="M72:Y72"/>
    <mergeCell ref="Z72:AB72"/>
    <mergeCell ref="H73:L73"/>
    <mergeCell ref="M73:Y73"/>
    <mergeCell ref="Z73:AB73"/>
    <mergeCell ref="H74:L74"/>
    <mergeCell ref="M74:Y74"/>
    <mergeCell ref="Z78:AB78"/>
    <mergeCell ref="H79:L79"/>
    <mergeCell ref="M79:Y79"/>
    <mergeCell ref="Z79:AB79"/>
    <mergeCell ref="H71:L71"/>
    <mergeCell ref="M71:Y71"/>
    <mergeCell ref="Z71:AB71"/>
    <mergeCell ref="F84:G84"/>
    <mergeCell ref="H82:L82"/>
    <mergeCell ref="M82:Y82"/>
    <mergeCell ref="Z82:AB82"/>
    <mergeCell ref="H72:L72"/>
    <mergeCell ref="B72:B74"/>
    <mergeCell ref="B80:B82"/>
    <mergeCell ref="B78:B79"/>
    <mergeCell ref="B70:B71"/>
    <mergeCell ref="B75:B76"/>
    <mergeCell ref="H75:L75"/>
    <mergeCell ref="M75:Y75"/>
    <mergeCell ref="Z75:AB75"/>
    <mergeCell ref="H76:L76"/>
    <mergeCell ref="M76:Y76"/>
    <mergeCell ref="Z76:AB76"/>
    <mergeCell ref="H78:L78"/>
    <mergeCell ref="M78:Y78"/>
    <mergeCell ref="H80:L80"/>
    <mergeCell ref="M80:Y80"/>
    <mergeCell ref="Z80:AB80"/>
  </mergeCells>
  <conditionalFormatting sqref="B12:B14 D12:D14 B17:B20 D17:D20 F17:F20 H17:H20 H23:H24 B23:B27 D23:D27 F24:F27 B29 D29 H29 F12:F13 H12:H13">
    <cfRule type="cellIs" dxfId="958" priority="936" operator="equal">
      <formula>$AL$28</formula>
    </cfRule>
  </conditionalFormatting>
  <conditionalFormatting sqref="B12:B14 D12:D14 B17:B20 D17:D20 F17:F20 H17:H20 H23:H24 B23:B27 D23:D27 F24:F27 B29 D29 H29">
    <cfRule type="containsText" dxfId="957" priority="935" operator="containsText" text="SI">
      <formula>NOT(ISERROR(SEARCH("SI",B12)))</formula>
    </cfRule>
  </conditionalFormatting>
  <conditionalFormatting sqref="B12:B14">
    <cfRule type="containsBlanks" dxfId="956" priority="909">
      <formula>LEN(TRIM(B12))=0</formula>
    </cfRule>
  </conditionalFormatting>
  <conditionalFormatting sqref="B17:B20">
    <cfRule type="containsBlanks" dxfId="955" priority="880">
      <formula>LEN(TRIM(B17))=0</formula>
    </cfRule>
  </conditionalFormatting>
  <conditionalFormatting sqref="B23:B27">
    <cfRule type="containsBlanks" dxfId="954" priority="771">
      <formula>LEN(TRIM(B23))=0</formula>
    </cfRule>
  </conditionalFormatting>
  <conditionalFormatting sqref="B29">
    <cfRule type="containsBlanks" dxfId="953" priority="832">
      <formula>LEN(TRIM(B29))=0</formula>
    </cfRule>
  </conditionalFormatting>
  <conditionalFormatting sqref="B54:B55">
    <cfRule type="expression" dxfId="952" priority="183">
      <formula>U19&gt;=53</formula>
    </cfRule>
    <cfRule type="expression" dxfId="951" priority="184">
      <formula>U19&gt;=43</formula>
    </cfRule>
    <cfRule type="expression" dxfId="950" priority="185">
      <formula>U19&gt;=29</formula>
    </cfRule>
    <cfRule type="expression" dxfId="949" priority="186">
      <formula>U19&gt;=15</formula>
    </cfRule>
    <cfRule type="expression" dxfId="948" priority="187">
      <formula>U19&gt;=0</formula>
    </cfRule>
  </conditionalFormatting>
  <conditionalFormatting sqref="B62:B63">
    <cfRule type="expression" dxfId="947" priority="178">
      <formula>V19&gt;=53</formula>
    </cfRule>
    <cfRule type="expression" dxfId="946" priority="179">
      <formula>V19&gt;=43</formula>
    </cfRule>
    <cfRule type="expression" dxfId="945" priority="180">
      <formula>V19&gt;=29</formula>
    </cfRule>
    <cfRule type="expression" dxfId="944" priority="181">
      <formula>V19&gt;=15</formula>
    </cfRule>
    <cfRule type="expression" dxfId="943" priority="182">
      <formula>V19&gt;=0</formula>
    </cfRule>
  </conditionalFormatting>
  <conditionalFormatting sqref="B70:B71">
    <cfRule type="expression" dxfId="942" priority="173">
      <formula>U29&gt;=53</formula>
    </cfRule>
    <cfRule type="expression" dxfId="941" priority="174">
      <formula>U29&gt;=43</formula>
    </cfRule>
    <cfRule type="expression" dxfId="940" priority="175">
      <formula>U29&gt;=29</formula>
    </cfRule>
    <cfRule type="expression" dxfId="939" priority="176">
      <formula>U29&gt;=15</formula>
    </cfRule>
    <cfRule type="expression" dxfId="938" priority="177">
      <formula>U29&gt;=0</formula>
    </cfRule>
  </conditionalFormatting>
  <conditionalFormatting sqref="B78:B79">
    <cfRule type="expression" dxfId="937" priority="168">
      <formula>V29&gt;=53</formula>
    </cfRule>
    <cfRule type="expression" dxfId="936" priority="169">
      <formula>V29&gt;=43</formula>
    </cfRule>
    <cfRule type="expression" dxfId="935" priority="170">
      <formula>V29&gt;=29</formula>
    </cfRule>
    <cfRule type="expression" dxfId="934" priority="171">
      <formula>V29&gt;=15</formula>
    </cfRule>
    <cfRule type="expression" dxfId="933" priority="172">
      <formula>V29&gt;=0</formula>
    </cfRule>
  </conditionalFormatting>
  <conditionalFormatting sqref="D8:D9">
    <cfRule type="containsBlanks" dxfId="932" priority="911">
      <formula>LEN(TRIM(D8))=0</formula>
    </cfRule>
  </conditionalFormatting>
  <conditionalFormatting sqref="D12:D14 B12:B14 B17:B20 D17:D20 F17:F20 H17:H20 H23:H24 B23:B27 D23:D27 F24:F27 B29 D29 H29">
    <cfRule type="containsText" dxfId="931" priority="934" operator="containsText" text="NO">
      <formula>NOT(ISERROR(SEARCH("NO",B12)))</formula>
    </cfRule>
  </conditionalFormatting>
  <conditionalFormatting sqref="D12:D14">
    <cfRule type="containsBlanks" dxfId="930" priority="760">
      <formula>LEN(TRIM(D12))=0</formula>
    </cfRule>
  </conditionalFormatting>
  <conditionalFormatting sqref="D14">
    <cfRule type="containsText" dxfId="929" priority="761" operator="containsText" text="NO">
      <formula>NOT(ISERROR(SEARCH("NO",D14)))</formula>
    </cfRule>
    <cfRule type="containsText" dxfId="928" priority="762" operator="containsText" text="SI">
      <formula>NOT(ISERROR(SEARCH("SI",D14)))</formula>
    </cfRule>
    <cfRule type="cellIs" dxfId="927" priority="763" operator="equal">
      <formula>$AL$28</formula>
    </cfRule>
    <cfRule type="cellIs" dxfId="926" priority="764" operator="equal">
      <formula>$AL$27</formula>
    </cfRule>
    <cfRule type="cellIs" dxfId="925" priority="765" operator="equal">
      <formula>$AL$26</formula>
    </cfRule>
  </conditionalFormatting>
  <conditionalFormatting sqref="D17:D20">
    <cfRule type="containsBlanks" dxfId="924" priority="874">
      <formula>LEN(TRIM(D17))=0</formula>
    </cfRule>
  </conditionalFormatting>
  <conditionalFormatting sqref="D23:D27">
    <cfRule type="containsBlanks" dxfId="923" priority="850">
      <formula>LEN(TRIM(D23))=0</formula>
    </cfRule>
  </conditionalFormatting>
  <conditionalFormatting sqref="D29">
    <cfRule type="containsBlanks" dxfId="922" priority="808">
      <formula>LEN(TRIM(D29))=0</formula>
    </cfRule>
  </conditionalFormatting>
  <conditionalFormatting sqref="D54:D60">
    <cfRule type="containsText" dxfId="921" priority="92" operator="containsText" text="5E">
      <formula>NOT(ISERROR(SEARCH("5E",D54)))</formula>
    </cfRule>
    <cfRule type="containsText" dxfId="920" priority="93" operator="containsText" text="5D">
      <formula>NOT(ISERROR(SEARCH("5D",D54)))</formula>
    </cfRule>
    <cfRule type="containsText" dxfId="919" priority="94" operator="containsText" text="4E">
      <formula>NOT(ISERROR(SEARCH("4E",D54)))</formula>
    </cfRule>
    <cfRule type="containsText" dxfId="918" priority="95" operator="containsText" text="5C">
      <formula>NOT(ISERROR(SEARCH("5C",D54)))</formula>
    </cfRule>
    <cfRule type="containsText" dxfId="917" priority="96" operator="containsText" text="4D">
      <formula>NOT(ISERROR(SEARCH("4D",D54)))</formula>
    </cfRule>
    <cfRule type="containsText" dxfId="916" priority="97" operator="containsText" text="3E">
      <formula>NOT(ISERROR(SEARCH("3E",D54)))</formula>
    </cfRule>
    <cfRule type="containsText" dxfId="915" priority="98" operator="containsText" text="5B">
      <formula>NOT(ISERROR(SEARCH("5B",D54)))</formula>
    </cfRule>
    <cfRule type="containsText" dxfId="914" priority="99" operator="containsText" text="4C">
      <formula>NOT(ISERROR(SEARCH("4C",D54)))</formula>
    </cfRule>
    <cfRule type="containsText" dxfId="913" priority="100" operator="containsText" text="3D">
      <formula>NOT(ISERROR(SEARCH("3D",D54)))</formula>
    </cfRule>
    <cfRule type="containsText" dxfId="912" priority="101" operator="containsText" text="2E">
      <formula>NOT(ISERROR(SEARCH("2E",D54)))</formula>
    </cfRule>
    <cfRule type="containsText" dxfId="911" priority="102" operator="containsText" text="5A">
      <formula>NOT(ISERROR(SEARCH("5A",D54)))</formula>
    </cfRule>
    <cfRule type="containsText" dxfId="910" priority="103" operator="containsText" text="4B">
      <formula>NOT(ISERROR(SEARCH("4B",D54)))</formula>
    </cfRule>
    <cfRule type="containsText" dxfId="909" priority="104" operator="containsText" text="3C">
      <formula>NOT(ISERROR(SEARCH("3C",D54)))</formula>
    </cfRule>
    <cfRule type="containsText" dxfId="908" priority="105" operator="containsText" text="2D">
      <formula>NOT(ISERROR(SEARCH("2D",D54)))</formula>
    </cfRule>
    <cfRule type="containsText" dxfId="907" priority="106" operator="containsText" text="1E">
      <formula>NOT(ISERROR(SEARCH("1E",D54)))</formula>
    </cfRule>
    <cfRule type="containsText" dxfId="906" priority="107" operator="containsText" text="4A">
      <formula>NOT(ISERROR(SEARCH("4A",D54)))</formula>
    </cfRule>
    <cfRule type="containsText" dxfId="905" priority="108" operator="containsText" text="3B">
      <formula>NOT(ISERROR(SEARCH("3B",D54)))</formula>
    </cfRule>
    <cfRule type="containsText" dxfId="904" priority="109" operator="containsText" text="2C">
      <formula>NOT(ISERROR(SEARCH("2C",D54)))</formula>
    </cfRule>
    <cfRule type="containsText" dxfId="903" priority="110" operator="containsText" text="1D">
      <formula>NOT(ISERROR(SEARCH("1D",D54)))</formula>
    </cfRule>
    <cfRule type="containsText" dxfId="902" priority="111" operator="containsText" text="3A">
      <formula>NOT(ISERROR(SEARCH("3A",D54)))</formula>
    </cfRule>
    <cfRule type="containsText" dxfId="901" priority="112" operator="containsText" text="2B">
      <formula>NOT(ISERROR(SEARCH("2B",D54)))</formula>
    </cfRule>
    <cfRule type="containsText" dxfId="900" priority="113" operator="containsText" text="1C">
      <formula>NOT(ISERROR(SEARCH("1C",D54)))</formula>
    </cfRule>
    <cfRule type="containsText" dxfId="899" priority="114" operator="containsText" text="2A">
      <formula>NOT(ISERROR(SEARCH("2A",D54)))</formula>
    </cfRule>
    <cfRule type="containsText" dxfId="898" priority="115" operator="containsText" text="1B">
      <formula>NOT(ISERROR(SEARCH("1B",D54)))</formula>
    </cfRule>
    <cfRule type="containsText" dxfId="897" priority="116" operator="containsText" text="1A">
      <formula>NOT(ISERROR(SEARCH("1A",D54)))</formula>
    </cfRule>
  </conditionalFormatting>
  <conditionalFormatting sqref="D62:D68">
    <cfRule type="containsText" dxfId="896" priority="66" operator="containsText" text="5E">
      <formula>NOT(ISERROR(SEARCH("5E",D62)))</formula>
    </cfRule>
    <cfRule type="containsText" dxfId="895" priority="67" operator="containsText" text="5D">
      <formula>NOT(ISERROR(SEARCH("5D",D62)))</formula>
    </cfRule>
    <cfRule type="containsText" dxfId="894" priority="68" operator="containsText" text="4E">
      <formula>NOT(ISERROR(SEARCH("4E",D62)))</formula>
    </cfRule>
    <cfRule type="containsText" dxfId="893" priority="69" operator="containsText" text="5C">
      <formula>NOT(ISERROR(SEARCH("5C",D62)))</formula>
    </cfRule>
    <cfRule type="containsText" dxfId="892" priority="70" operator="containsText" text="4D">
      <formula>NOT(ISERROR(SEARCH("4D",D62)))</formula>
    </cfRule>
    <cfRule type="containsText" dxfId="891" priority="71" operator="containsText" text="3E">
      <formula>NOT(ISERROR(SEARCH("3E",D62)))</formula>
    </cfRule>
    <cfRule type="containsText" dxfId="890" priority="72" operator="containsText" text="5B">
      <formula>NOT(ISERROR(SEARCH("5B",D62)))</formula>
    </cfRule>
    <cfRule type="containsText" dxfId="889" priority="73" operator="containsText" text="4C">
      <formula>NOT(ISERROR(SEARCH("4C",D62)))</formula>
    </cfRule>
    <cfRule type="containsText" dxfId="888" priority="74" operator="containsText" text="3D">
      <formula>NOT(ISERROR(SEARCH("3D",D62)))</formula>
    </cfRule>
    <cfRule type="containsText" dxfId="887" priority="75" operator="containsText" text="2E">
      <formula>NOT(ISERROR(SEARCH("2E",D62)))</formula>
    </cfRule>
    <cfRule type="containsText" dxfId="886" priority="76" operator="containsText" text="5A">
      <formula>NOT(ISERROR(SEARCH("5A",D62)))</formula>
    </cfRule>
    <cfRule type="containsText" dxfId="885" priority="77" operator="containsText" text="4B">
      <formula>NOT(ISERROR(SEARCH("4B",D62)))</formula>
    </cfRule>
    <cfRule type="containsText" dxfId="884" priority="78" operator="containsText" text="3C">
      <formula>NOT(ISERROR(SEARCH("3C",D62)))</formula>
    </cfRule>
    <cfRule type="containsText" dxfId="883" priority="79" operator="containsText" text="2D">
      <formula>NOT(ISERROR(SEARCH("2D",D62)))</formula>
    </cfRule>
    <cfRule type="containsText" dxfId="882" priority="80" operator="containsText" text="1E">
      <formula>NOT(ISERROR(SEARCH("1E",D62)))</formula>
    </cfRule>
    <cfRule type="containsText" dxfId="881" priority="81" operator="containsText" text="4A">
      <formula>NOT(ISERROR(SEARCH("4A",D62)))</formula>
    </cfRule>
    <cfRule type="containsText" dxfId="880" priority="82" operator="containsText" text="3B">
      <formula>NOT(ISERROR(SEARCH("3B",D62)))</formula>
    </cfRule>
    <cfRule type="containsText" dxfId="879" priority="83" operator="containsText" text="2C">
      <formula>NOT(ISERROR(SEARCH("2C",D62)))</formula>
    </cfRule>
    <cfRule type="containsText" dxfId="878" priority="84" operator="containsText" text="1D">
      <formula>NOT(ISERROR(SEARCH("1D",D62)))</formula>
    </cfRule>
    <cfRule type="containsText" dxfId="877" priority="85" operator="containsText" text="3A">
      <formula>NOT(ISERROR(SEARCH("3A",D62)))</formula>
    </cfRule>
    <cfRule type="containsText" dxfId="876" priority="86" operator="containsText" text="2B">
      <formula>NOT(ISERROR(SEARCH("2B",D62)))</formula>
    </cfRule>
    <cfRule type="containsText" dxfId="875" priority="87" operator="containsText" text="1C">
      <formula>NOT(ISERROR(SEARCH("1C",D62)))</formula>
    </cfRule>
    <cfRule type="containsText" dxfId="874" priority="88" operator="containsText" text="2A">
      <formula>NOT(ISERROR(SEARCH("2A",D62)))</formula>
    </cfRule>
    <cfRule type="containsText" dxfId="873" priority="89" operator="containsText" text="1B">
      <formula>NOT(ISERROR(SEARCH("1B",D62)))</formula>
    </cfRule>
    <cfRule type="containsText" dxfId="872" priority="90" operator="containsText" text="1A">
      <formula>NOT(ISERROR(SEARCH("1A",D62)))</formula>
    </cfRule>
  </conditionalFormatting>
  <conditionalFormatting sqref="D70:D76">
    <cfRule type="containsText" dxfId="871" priority="40" operator="containsText" text="5E">
      <formula>NOT(ISERROR(SEARCH("5E",D70)))</formula>
    </cfRule>
    <cfRule type="containsText" dxfId="870" priority="41" operator="containsText" text="5D">
      <formula>NOT(ISERROR(SEARCH("5D",D70)))</formula>
    </cfRule>
    <cfRule type="containsText" dxfId="869" priority="42" operator="containsText" text="4E">
      <formula>NOT(ISERROR(SEARCH("4E",D70)))</formula>
    </cfRule>
    <cfRule type="containsText" dxfId="868" priority="43" operator="containsText" text="5C">
      <formula>NOT(ISERROR(SEARCH("5C",D70)))</formula>
    </cfRule>
    <cfRule type="containsText" dxfId="867" priority="44" operator="containsText" text="4D">
      <formula>NOT(ISERROR(SEARCH("4D",D70)))</formula>
    </cfRule>
    <cfRule type="containsText" dxfId="866" priority="45" operator="containsText" text="3E">
      <formula>NOT(ISERROR(SEARCH("3E",D70)))</formula>
    </cfRule>
    <cfRule type="containsText" dxfId="865" priority="46" operator="containsText" text="5B">
      <formula>NOT(ISERROR(SEARCH("5B",D70)))</formula>
    </cfRule>
    <cfRule type="containsText" dxfId="864" priority="47" operator="containsText" text="4C">
      <formula>NOT(ISERROR(SEARCH("4C",D70)))</formula>
    </cfRule>
    <cfRule type="containsText" dxfId="863" priority="48" operator="containsText" text="3D">
      <formula>NOT(ISERROR(SEARCH("3D",D70)))</formula>
    </cfRule>
    <cfRule type="containsText" dxfId="862" priority="49" operator="containsText" text="2E">
      <formula>NOT(ISERROR(SEARCH("2E",D70)))</formula>
    </cfRule>
    <cfRule type="containsText" dxfId="861" priority="50" operator="containsText" text="5A">
      <formula>NOT(ISERROR(SEARCH("5A",D70)))</formula>
    </cfRule>
    <cfRule type="containsText" dxfId="860" priority="51" operator="containsText" text="4B">
      <formula>NOT(ISERROR(SEARCH("4B",D70)))</formula>
    </cfRule>
    <cfRule type="containsText" dxfId="859" priority="52" operator="containsText" text="3C">
      <formula>NOT(ISERROR(SEARCH("3C",D70)))</formula>
    </cfRule>
    <cfRule type="containsText" dxfId="858" priority="53" operator="containsText" text="2D">
      <formula>NOT(ISERROR(SEARCH("2D",D70)))</formula>
    </cfRule>
    <cfRule type="containsText" dxfId="857" priority="54" operator="containsText" text="1E">
      <formula>NOT(ISERROR(SEARCH("1E",D70)))</formula>
    </cfRule>
    <cfRule type="containsText" dxfId="856" priority="55" operator="containsText" text="4A">
      <formula>NOT(ISERROR(SEARCH("4A",D70)))</formula>
    </cfRule>
    <cfRule type="containsText" dxfId="855" priority="56" operator="containsText" text="3B">
      <formula>NOT(ISERROR(SEARCH("3B",D70)))</formula>
    </cfRule>
    <cfRule type="containsText" dxfId="854" priority="57" operator="containsText" text="2C">
      <formula>NOT(ISERROR(SEARCH("2C",D70)))</formula>
    </cfRule>
    <cfRule type="containsText" dxfId="853" priority="58" operator="containsText" text="1D">
      <formula>NOT(ISERROR(SEARCH("1D",D70)))</formula>
    </cfRule>
    <cfRule type="containsText" dxfId="852" priority="59" operator="containsText" text="3A">
      <formula>NOT(ISERROR(SEARCH("3A",D70)))</formula>
    </cfRule>
    <cfRule type="containsText" dxfId="851" priority="60" operator="containsText" text="2B">
      <formula>NOT(ISERROR(SEARCH("2B",D70)))</formula>
    </cfRule>
    <cfRule type="containsText" dxfId="850" priority="61" operator="containsText" text="1C">
      <formula>NOT(ISERROR(SEARCH("1C",D70)))</formula>
    </cfRule>
    <cfRule type="containsText" dxfId="849" priority="62" operator="containsText" text="2A">
      <formula>NOT(ISERROR(SEARCH("2A",D70)))</formula>
    </cfRule>
    <cfRule type="containsText" dxfId="848" priority="63" operator="containsText" text="1B">
      <formula>NOT(ISERROR(SEARCH("1B",D70)))</formula>
    </cfRule>
    <cfRule type="containsText" dxfId="847" priority="64" operator="containsText" text="1A">
      <formula>NOT(ISERROR(SEARCH("1A",D70)))</formula>
    </cfRule>
  </conditionalFormatting>
  <conditionalFormatting sqref="D78:D84">
    <cfRule type="containsText" dxfId="846" priority="14" operator="containsText" text="5E">
      <formula>NOT(ISERROR(SEARCH("5E",D78)))</formula>
    </cfRule>
    <cfRule type="containsText" dxfId="845" priority="15" operator="containsText" text="5D">
      <formula>NOT(ISERROR(SEARCH("5D",D78)))</formula>
    </cfRule>
    <cfRule type="containsText" dxfId="844" priority="16" operator="containsText" text="4E">
      <formula>NOT(ISERROR(SEARCH("4E",D78)))</formula>
    </cfRule>
    <cfRule type="containsText" dxfId="843" priority="17" operator="containsText" text="5C">
      <formula>NOT(ISERROR(SEARCH("5C",D78)))</formula>
    </cfRule>
    <cfRule type="containsText" dxfId="842" priority="18" operator="containsText" text="4D">
      <formula>NOT(ISERROR(SEARCH("4D",D78)))</formula>
    </cfRule>
    <cfRule type="containsText" dxfId="841" priority="19" operator="containsText" text="3E">
      <formula>NOT(ISERROR(SEARCH("3E",D78)))</formula>
    </cfRule>
    <cfRule type="containsText" dxfId="840" priority="20" operator="containsText" text="5B">
      <formula>NOT(ISERROR(SEARCH("5B",D78)))</formula>
    </cfRule>
    <cfRule type="containsText" dxfId="839" priority="21" operator="containsText" text="4C">
      <formula>NOT(ISERROR(SEARCH("4C",D78)))</formula>
    </cfRule>
    <cfRule type="containsText" dxfId="838" priority="22" operator="containsText" text="3D">
      <formula>NOT(ISERROR(SEARCH("3D",D78)))</formula>
    </cfRule>
    <cfRule type="containsText" dxfId="837" priority="23" operator="containsText" text="2E">
      <formula>NOT(ISERROR(SEARCH("2E",D78)))</formula>
    </cfRule>
    <cfRule type="containsText" dxfId="836" priority="24" operator="containsText" text="5A">
      <formula>NOT(ISERROR(SEARCH("5A",D78)))</formula>
    </cfRule>
    <cfRule type="containsText" dxfId="835" priority="25" operator="containsText" text="4B">
      <formula>NOT(ISERROR(SEARCH("4B",D78)))</formula>
    </cfRule>
    <cfRule type="containsText" dxfId="834" priority="26" operator="containsText" text="3C">
      <formula>NOT(ISERROR(SEARCH("3C",D78)))</formula>
    </cfRule>
    <cfRule type="containsText" dxfId="833" priority="27" operator="containsText" text="2D">
      <formula>NOT(ISERROR(SEARCH("2D",D78)))</formula>
    </cfRule>
    <cfRule type="containsText" dxfId="832" priority="28" operator="containsText" text="1E">
      <formula>NOT(ISERROR(SEARCH("1E",D78)))</formula>
    </cfRule>
    <cfRule type="containsText" dxfId="831" priority="29" operator="containsText" text="4A">
      <formula>NOT(ISERROR(SEARCH("4A",D78)))</formula>
    </cfRule>
    <cfRule type="containsText" dxfId="830" priority="30" operator="containsText" text="3B">
      <formula>NOT(ISERROR(SEARCH("3B",D78)))</formula>
    </cfRule>
    <cfRule type="containsText" dxfId="829" priority="31" operator="containsText" text="2C">
      <formula>NOT(ISERROR(SEARCH("2C",D78)))</formula>
    </cfRule>
    <cfRule type="containsText" dxfId="828" priority="32" operator="containsText" text="1D">
      <formula>NOT(ISERROR(SEARCH("1D",D78)))</formula>
    </cfRule>
    <cfRule type="containsText" dxfId="827" priority="33" operator="containsText" text="3A">
      <formula>NOT(ISERROR(SEARCH("3A",D78)))</formula>
    </cfRule>
    <cfRule type="containsText" dxfId="826" priority="34" operator="containsText" text="2B">
      <formula>NOT(ISERROR(SEARCH("2B",D78)))</formula>
    </cfRule>
    <cfRule type="containsText" dxfId="825" priority="35" operator="containsText" text="1C">
      <formula>NOT(ISERROR(SEARCH("1C",D78)))</formula>
    </cfRule>
    <cfRule type="containsText" dxfId="824" priority="36" operator="containsText" text="2A">
      <formula>NOT(ISERROR(SEARCH("2A",D78)))</formula>
    </cfRule>
    <cfRule type="containsText" dxfId="823" priority="37" operator="containsText" text="1B">
      <formula>NOT(ISERROR(SEARCH("1B",D78)))</formula>
    </cfRule>
    <cfRule type="containsText" dxfId="822" priority="38" operator="containsText" text="1A">
      <formula>NOT(ISERROR(SEARCH("1A",D78)))</formula>
    </cfRule>
  </conditionalFormatting>
  <conditionalFormatting sqref="D54:AB60">
    <cfRule type="containsText" dxfId="821" priority="91" operator="containsText" text="¿?">
      <formula>NOT(ISERROR(SEARCH("¿?",D54)))</formula>
    </cfRule>
  </conditionalFormatting>
  <conditionalFormatting sqref="D62:AB68">
    <cfRule type="containsText" dxfId="820" priority="65" operator="containsText" text="¿?">
      <formula>NOT(ISERROR(SEARCH("¿?",D62)))</formula>
    </cfRule>
  </conditionalFormatting>
  <conditionalFormatting sqref="D70:AB76">
    <cfRule type="containsText" dxfId="819" priority="39" operator="containsText" text="¿?">
      <formula>NOT(ISERROR(SEARCH("¿?",D70)))</formula>
    </cfRule>
  </conditionalFormatting>
  <conditionalFormatting sqref="D78:AB84">
    <cfRule type="containsText" dxfId="818" priority="13" operator="containsText" text="¿?">
      <formula>NOT(ISERROR(SEARCH("¿?",D78)))</formula>
    </cfRule>
  </conditionalFormatting>
  <conditionalFormatting sqref="F12:F13 H12:H13 B12:B14 D12:D14 B17:B20 D17:D20 F17:F20 H17:H20 H23:H24 B23:B27 D23:D27 F24:F27 B29 D29 H29">
    <cfRule type="cellIs" dxfId="817" priority="937" operator="equal">
      <formula>$AL$27</formula>
    </cfRule>
    <cfRule type="cellIs" dxfId="816" priority="938" operator="equal">
      <formula>$AL$26</formula>
    </cfRule>
  </conditionalFormatting>
  <conditionalFormatting sqref="F12:F14">
    <cfRule type="containsText" dxfId="815" priority="699" operator="containsText" text="NO">
      <formula>NOT(ISERROR(SEARCH("NO",F12)))</formula>
    </cfRule>
    <cfRule type="containsText" dxfId="814" priority="700" operator="containsText" text="SI">
      <formula>NOT(ISERROR(SEARCH("SI",F12)))</formula>
    </cfRule>
    <cfRule type="containsBlanks" dxfId="813" priority="701">
      <formula>LEN(TRIM(F12))=0</formula>
    </cfRule>
  </conditionalFormatting>
  <conditionalFormatting sqref="F14">
    <cfRule type="containsText" dxfId="812" priority="698" operator="containsText" text="N/A">
      <formula>NOT(ISERROR(SEARCH("N/A",F14)))</formula>
    </cfRule>
  </conditionalFormatting>
  <conditionalFormatting sqref="F17:F20">
    <cfRule type="containsBlanks" dxfId="811" priority="868">
      <formula>LEN(TRIM(F17))=0</formula>
    </cfRule>
  </conditionalFormatting>
  <conditionalFormatting sqref="F23">
    <cfRule type="cellIs" dxfId="810" priority="784" operator="between">
      <formula>1</formula>
      <formula>14</formula>
    </cfRule>
    <cfRule type="cellIs" dxfId="809" priority="908" operator="equal">
      <formula>0</formula>
    </cfRule>
  </conditionalFormatting>
  <conditionalFormatting sqref="F24:F27">
    <cfRule type="containsBlanks" dxfId="808" priority="844">
      <formula>LEN(TRIM(F24))=0</formula>
    </cfRule>
  </conditionalFormatting>
  <conditionalFormatting sqref="F29">
    <cfRule type="containsBlanks" dxfId="807" priority="753">
      <formula>LEN(TRIM(F29))=0</formula>
    </cfRule>
    <cfRule type="containsText" dxfId="806" priority="755" operator="containsText" text="NO">
      <formula>NOT(ISERROR(SEARCH("NO",F29)))</formula>
    </cfRule>
    <cfRule type="containsText" dxfId="805" priority="756" operator="containsText" text="SI">
      <formula>NOT(ISERROR(SEARCH("SI",F29)))</formula>
    </cfRule>
    <cfRule type="cellIs" dxfId="804" priority="757" operator="equal">
      <formula>$AL$28</formula>
    </cfRule>
    <cfRule type="cellIs" dxfId="803" priority="758" operator="equal">
      <formula>$AL$27</formula>
    </cfRule>
    <cfRule type="cellIs" dxfId="802" priority="759" operator="equal">
      <formula>$AL$26</formula>
    </cfRule>
  </conditionalFormatting>
  <conditionalFormatting sqref="F53">
    <cfRule type="containsText" dxfId="801" priority="338" operator="containsText" text="5E">
      <formula>NOT(ISERROR(SEARCH("5E",F53)))</formula>
    </cfRule>
    <cfRule type="containsText" dxfId="800" priority="339" operator="containsText" text="5D">
      <formula>NOT(ISERROR(SEARCH("5D",F53)))</formula>
    </cfRule>
    <cfRule type="containsText" dxfId="799" priority="340" operator="containsText" text="4E">
      <formula>NOT(ISERROR(SEARCH("4E",F53)))</formula>
    </cfRule>
    <cfRule type="containsText" dxfId="798" priority="341" operator="containsText" text="5C">
      <formula>NOT(ISERROR(SEARCH("5C",F53)))</formula>
    </cfRule>
    <cfRule type="containsText" dxfId="797" priority="342" operator="containsText" text="4D">
      <formula>NOT(ISERROR(SEARCH("4D",F53)))</formula>
    </cfRule>
    <cfRule type="containsText" dxfId="796" priority="343" operator="containsText" text="3E">
      <formula>NOT(ISERROR(SEARCH("3E",F53)))</formula>
    </cfRule>
    <cfRule type="containsText" dxfId="795" priority="344" operator="containsText" text="5B">
      <formula>NOT(ISERROR(SEARCH("5B",F53)))</formula>
    </cfRule>
    <cfRule type="containsText" dxfId="794" priority="345" operator="containsText" text="4C">
      <formula>NOT(ISERROR(SEARCH("4C",F53)))</formula>
    </cfRule>
    <cfRule type="containsText" dxfId="793" priority="346" operator="containsText" text="3D">
      <formula>NOT(ISERROR(SEARCH("3D",F53)))</formula>
    </cfRule>
    <cfRule type="containsText" dxfId="792" priority="347" operator="containsText" text="2E">
      <formula>NOT(ISERROR(SEARCH("2E",F53)))</formula>
    </cfRule>
    <cfRule type="containsText" dxfId="791" priority="348" operator="containsText" text="5A">
      <formula>NOT(ISERROR(SEARCH("5A",F53)))</formula>
    </cfRule>
    <cfRule type="containsText" dxfId="790" priority="349" operator="containsText" text="4B">
      <formula>NOT(ISERROR(SEARCH("4B",F53)))</formula>
    </cfRule>
    <cfRule type="containsText" dxfId="789" priority="350" operator="containsText" text="3C">
      <formula>NOT(ISERROR(SEARCH("3C",F53)))</formula>
    </cfRule>
    <cfRule type="containsText" dxfId="788" priority="351" operator="containsText" text="2D">
      <formula>NOT(ISERROR(SEARCH("2D",F53)))</formula>
    </cfRule>
    <cfRule type="containsText" dxfId="787" priority="352" operator="containsText" text="1E">
      <formula>NOT(ISERROR(SEARCH("1E",F53)))</formula>
    </cfRule>
    <cfRule type="containsText" dxfId="786" priority="353" operator="containsText" text="4A">
      <formula>NOT(ISERROR(SEARCH("4A",F53)))</formula>
    </cfRule>
    <cfRule type="containsText" dxfId="785" priority="354" operator="containsText" text="3B">
      <formula>NOT(ISERROR(SEARCH("3B",F53)))</formula>
    </cfRule>
    <cfRule type="containsText" dxfId="784" priority="355" operator="containsText" text="2C">
      <formula>NOT(ISERROR(SEARCH("2C",F53)))</formula>
    </cfRule>
    <cfRule type="containsText" dxfId="783" priority="356" operator="containsText" text="1D">
      <formula>NOT(ISERROR(SEARCH("1D",F53)))</formula>
    </cfRule>
    <cfRule type="containsText" dxfId="782" priority="357" operator="containsText" text="3A">
      <formula>NOT(ISERROR(SEARCH("3A",F53)))</formula>
    </cfRule>
    <cfRule type="containsText" dxfId="781" priority="358" operator="containsText" text="2B">
      <formula>NOT(ISERROR(SEARCH("2B",F53)))</formula>
    </cfRule>
    <cfRule type="containsText" dxfId="780" priority="359" operator="containsText" text="1C">
      <formula>NOT(ISERROR(SEARCH("1C",F53)))</formula>
    </cfRule>
    <cfRule type="containsText" dxfId="779" priority="360" operator="containsText" text="2A">
      <formula>NOT(ISERROR(SEARCH("2A",F53)))</formula>
    </cfRule>
    <cfRule type="containsText" dxfId="778" priority="361" operator="containsText" text="1B">
      <formula>NOT(ISERROR(SEARCH("1B",F53)))</formula>
    </cfRule>
    <cfRule type="containsText" dxfId="777" priority="362" operator="containsText" text="1A">
      <formula>NOT(ISERROR(SEARCH("1A",F53)))</formula>
    </cfRule>
  </conditionalFormatting>
  <conditionalFormatting sqref="H8:H9">
    <cfRule type="containsBlanks" dxfId="776" priority="907">
      <formula>LEN(TRIM(H8))=0</formula>
    </cfRule>
  </conditionalFormatting>
  <conditionalFormatting sqref="H12:H14">
    <cfRule type="containsText" dxfId="775" priority="695" operator="containsText" text="NO">
      <formula>NOT(ISERROR(SEARCH("NO",H12)))</formula>
    </cfRule>
    <cfRule type="containsText" dxfId="774" priority="696" operator="containsText" text="SI">
      <formula>NOT(ISERROR(SEARCH("SI",H12)))</formula>
    </cfRule>
    <cfRule type="containsBlanks" dxfId="773" priority="697">
      <formula>LEN(TRIM(H12))=0</formula>
    </cfRule>
  </conditionalFormatting>
  <conditionalFormatting sqref="H14">
    <cfRule type="containsText" dxfId="772" priority="694" operator="containsText" text="N/A">
      <formula>NOT(ISERROR(SEARCH("N/A",H14)))</formula>
    </cfRule>
  </conditionalFormatting>
  <conditionalFormatting sqref="H17:H20">
    <cfRule type="containsBlanks" dxfId="771" priority="862">
      <formula>LEN(TRIM(H17))=0</formula>
    </cfRule>
  </conditionalFormatting>
  <conditionalFormatting sqref="H23:H24">
    <cfRule type="containsBlanks" dxfId="770" priority="838">
      <formula>LEN(TRIM(H23))=0</formula>
    </cfRule>
  </conditionalFormatting>
  <conditionalFormatting sqref="H29">
    <cfRule type="containsBlanks" dxfId="769" priority="751">
      <formula>LEN(TRIM(H29))=0</formula>
    </cfRule>
  </conditionalFormatting>
  <conditionalFormatting sqref="L8:L9">
    <cfRule type="containsBlanks" dxfId="768" priority="687">
      <formula>LEN(TRIM(L8))=0</formula>
    </cfRule>
  </conditionalFormatting>
  <conditionalFormatting sqref="L12:M12 AS33:AS62">
    <cfRule type="containsText" dxfId="767" priority="693" operator="containsText" text="No">
      <formula>NOT(ISERROR(SEARCH("No",L12)))</formula>
    </cfRule>
  </conditionalFormatting>
  <conditionalFormatting sqref="L13:M13 AT33:AT65">
    <cfRule type="containsText" dxfId="766" priority="692" operator="containsText" text="Montañoso">
      <formula>NOT(ISERROR(SEARCH("Montañoso",L13)))</formula>
    </cfRule>
  </conditionalFormatting>
  <conditionalFormatting sqref="L14:M14">
    <cfRule type="containsText" dxfId="765" priority="739" operator="containsText" text="Cerrado">
      <formula>NOT(ISERROR(SEARCH("Cerrado",L14)))</formula>
    </cfRule>
    <cfRule type="containsText" dxfId="764" priority="740" operator="containsText" text="Instrumentos">
      <formula>NOT(ISERROR(SEARCH("Instrumentos",L14)))</formula>
    </cfRule>
  </conditionalFormatting>
  <conditionalFormatting sqref="L16:M16">
    <cfRule type="containsText" dxfId="763" priority="738" operator="containsText" text="Deteriorada">
      <formula>NOT(ISERROR(SEARCH("Deteriorada",L16)))</formula>
    </cfRule>
  </conditionalFormatting>
  <conditionalFormatting sqref="L17:M17">
    <cfRule type="containsText" dxfId="762" priority="737" operator="containsText" text="Montañoso">
      <formula>NOT(ISERROR(SEARCH("Montañoso",L17)))</formula>
    </cfRule>
  </conditionalFormatting>
  <conditionalFormatting sqref="L18:M18">
    <cfRule type="containsText" dxfId="761" priority="736" operator="containsText" text="&lt; 1.500 ft">
      <formula>NOT(ISERROR(SEARCH("&lt; 1.500 ft",L18)))</formula>
    </cfRule>
  </conditionalFormatting>
  <conditionalFormatting sqref="L19:M19">
    <cfRule type="containsText" dxfId="760" priority="734" operator="containsText" text="02:31 a 03:15">
      <formula>NOT(ISERROR(SEARCH("02:31 a 03:15",L19)))</formula>
    </cfRule>
    <cfRule type="containsText" dxfId="759" priority="735" operator="containsText" text="&gt; 03:15">
      <formula>NOT(ISERROR(SEARCH("&gt; 03:15",L19)))</formula>
    </cfRule>
  </conditionalFormatting>
  <conditionalFormatting sqref="L20:M20">
    <cfRule type="containsText" dxfId="758" priority="733" operator="containsText" text="Si">
      <formula>NOT(ISERROR(SEARCH("Si",L20)))</formula>
    </cfRule>
  </conditionalFormatting>
  <conditionalFormatting sqref="L22:M22">
    <cfRule type="containsText" dxfId="757" priority="732" operator="containsText" text="Primer Vuelo Solo">
      <formula>NOT(ISERROR(SEARCH("Primer Vuelo Solo",L22)))</formula>
    </cfRule>
  </conditionalFormatting>
  <conditionalFormatting sqref="L23:M23">
    <cfRule type="containsText" dxfId="756" priority="730" operator="containsText" text="01:01 a 02:00">
      <formula>NOT(ISERROR(SEARCH("01:01 a 02:00",L23)))</formula>
    </cfRule>
    <cfRule type="containsText" dxfId="755" priority="731" operator="containsText" text="&lt; 01:00">
      <formula>NOT(ISERROR(SEARCH("&lt; 01:00",L23)))</formula>
    </cfRule>
  </conditionalFormatting>
  <conditionalFormatting sqref="L24:M24">
    <cfRule type="containsText" dxfId="754" priority="729" operator="containsText" text="Prueba">
      <formula>NOT(ISERROR(SEARCH("Prueba",L24)))</formula>
    </cfRule>
  </conditionalFormatting>
  <conditionalFormatting sqref="L26:M26">
    <cfRule type="containsText" dxfId="753" priority="727" operator="containsText" text="Reducida">
      <formula>NOT(ISERROR(SEARCH("Reducida",L26)))</formula>
    </cfRule>
    <cfRule type="containsText" dxfId="752" priority="728" operator="containsText" text="No Apto">
      <formula>NOT(ISERROR(SEARCH("No Apto",L26)))</formula>
    </cfRule>
  </conditionalFormatting>
  <conditionalFormatting sqref="L26:M32 L14:M14 L16:M20 L22:M24">
    <cfRule type="containsBlanks" dxfId="751" priority="717">
      <formula>LEN(TRIM(L14))=0</formula>
    </cfRule>
  </conditionalFormatting>
  <conditionalFormatting sqref="L27:M27">
    <cfRule type="containsText" dxfId="750" priority="726" operator="containsText" text="Sin Prescripción">
      <formula>NOT(ISERROR(SEARCH("Sin Prescripción",L27)))</formula>
    </cfRule>
  </conditionalFormatting>
  <conditionalFormatting sqref="L28:M28">
    <cfRule type="containsText" dxfId="749" priority="725" operator="containsText" text="&lt; 05:00">
      <formula>NOT(ISERROR(SEARCH("&lt; 05:00",L28)))</formula>
    </cfRule>
  </conditionalFormatting>
  <conditionalFormatting sqref="L29:M29">
    <cfRule type="containsText" dxfId="748" priority="724" operator="containsText" text="Si">
      <formula>NOT(ISERROR(SEARCH("Si",L29)))</formula>
    </cfRule>
  </conditionalFormatting>
  <conditionalFormatting sqref="L30:M30">
    <cfRule type="containsText" dxfId="747" priority="723" operator="containsText" text="&lt; 04:00">
      <formula>NOT(ISERROR(SEARCH("&lt; 04:00",L30)))</formula>
    </cfRule>
  </conditionalFormatting>
  <conditionalFormatting sqref="L31:M31">
    <cfRule type="cellIs" dxfId="746" priority="686" operator="equal">
      <formula>6</formula>
    </cfRule>
    <cfRule type="containsText" dxfId="745" priority="722" operator="containsText" text="5">
      <formula>NOT(ISERROR(SEARCH("5",L31)))</formula>
    </cfRule>
  </conditionalFormatting>
  <conditionalFormatting sqref="L32:M32">
    <cfRule type="containsText" dxfId="744" priority="721" operator="containsText" text="&lt; 20 hrs">
      <formula>NOT(ISERROR(SEARCH("&lt; 20 hrs",L32)))</formula>
    </cfRule>
  </conditionalFormatting>
  <conditionalFormatting sqref="L34:M35">
    <cfRule type="containsText" dxfId="743" priority="718" operator="containsText" text="ACEPTABLE">
      <formula>NOT(ISERROR(SEARCH("ACEPTABLE",L34)))</formula>
    </cfRule>
    <cfRule type="containsText" dxfId="742" priority="719" operator="containsText" text="MEDIO">
      <formula>NOT(ISERROR(SEARCH("MEDIO",L34)))</formula>
    </cfRule>
    <cfRule type="containsText" dxfId="741" priority="720" operator="containsText" text="ALTO">
      <formula>NOT(ISERROR(SEARCH("ALTO",L34)))</formula>
    </cfRule>
  </conditionalFormatting>
  <conditionalFormatting sqref="N20:O20">
    <cfRule type="containsBlanks" dxfId="740" priority="746">
      <formula>LEN(TRIM(N20))=0</formula>
    </cfRule>
  </conditionalFormatting>
  <conditionalFormatting sqref="N22:O24">
    <cfRule type="containsBlanks" dxfId="739" priority="743">
      <formula>LEN(TRIM(N22))=0</formula>
    </cfRule>
  </conditionalFormatting>
  <conditionalFormatting sqref="Q12:Q18">
    <cfRule type="expression" dxfId="738" priority="462" stopIfTrue="1">
      <formula>S12="5E"</formula>
    </cfRule>
    <cfRule type="expression" dxfId="737" priority="463" stopIfTrue="1">
      <formula>S12="5D"</formula>
    </cfRule>
    <cfRule type="expression" dxfId="736" priority="464" stopIfTrue="1">
      <formula>S12="4E"</formula>
    </cfRule>
    <cfRule type="expression" dxfId="735" priority="465" stopIfTrue="1">
      <formula>S12="5C"</formula>
    </cfRule>
    <cfRule type="expression" dxfId="734" priority="466" stopIfTrue="1">
      <formula>S12="4D"</formula>
    </cfRule>
    <cfRule type="expression" dxfId="733" priority="467" stopIfTrue="1">
      <formula>S12="3E"</formula>
    </cfRule>
    <cfRule type="expression" dxfId="732" priority="468" stopIfTrue="1">
      <formula>S12="5B"</formula>
    </cfRule>
    <cfRule type="expression" dxfId="731" priority="469" stopIfTrue="1">
      <formula>S12="4C"</formula>
    </cfRule>
    <cfRule type="expression" dxfId="730" priority="470" stopIfTrue="1">
      <formula>S12="3D"</formula>
    </cfRule>
    <cfRule type="expression" dxfId="729" priority="471" stopIfTrue="1">
      <formula>S12="2E"</formula>
    </cfRule>
    <cfRule type="expression" dxfId="728" priority="472" stopIfTrue="1">
      <formula>S12="5A"</formula>
    </cfRule>
    <cfRule type="expression" dxfId="727" priority="473" stopIfTrue="1">
      <formula>S12="4B"</formula>
    </cfRule>
    <cfRule type="expression" dxfId="726" priority="474" stopIfTrue="1">
      <formula>S12="3C"</formula>
    </cfRule>
    <cfRule type="expression" dxfId="725" priority="475" stopIfTrue="1">
      <formula>S12="2D"</formula>
    </cfRule>
    <cfRule type="expression" dxfId="724" priority="476" stopIfTrue="1">
      <formula>S12="1E"</formula>
    </cfRule>
    <cfRule type="expression" dxfId="723" priority="477" stopIfTrue="1">
      <formula>S12="4A"</formula>
    </cfRule>
    <cfRule type="expression" dxfId="722" priority="478" stopIfTrue="1">
      <formula>S12="3B"</formula>
    </cfRule>
    <cfRule type="expression" dxfId="721" priority="479" stopIfTrue="1">
      <formula>S12="2C"</formula>
    </cfRule>
    <cfRule type="expression" dxfId="720" priority="480" stopIfTrue="1">
      <formula>S12="1D"</formula>
    </cfRule>
    <cfRule type="expression" dxfId="719" priority="481" stopIfTrue="1">
      <formula>S12="3A"</formula>
    </cfRule>
    <cfRule type="expression" dxfId="718" priority="482" stopIfTrue="1">
      <formula>S12="2B"</formula>
    </cfRule>
    <cfRule type="expression" dxfId="717" priority="483" stopIfTrue="1">
      <formula>S12="1C"</formula>
    </cfRule>
    <cfRule type="expression" dxfId="716" priority="484" stopIfTrue="1">
      <formula>S12="A2"</formula>
    </cfRule>
    <cfRule type="expression" dxfId="715" priority="485" stopIfTrue="1">
      <formula>S12="1B"</formula>
    </cfRule>
  </conditionalFormatting>
  <conditionalFormatting sqref="Q22:Q28">
    <cfRule type="expression" dxfId="714" priority="437" stopIfTrue="1">
      <formula>S22="5E"</formula>
    </cfRule>
    <cfRule type="expression" dxfId="713" priority="438" stopIfTrue="1">
      <formula>S22="5D"</formula>
    </cfRule>
    <cfRule type="expression" dxfId="712" priority="439" stopIfTrue="1">
      <formula>S22="4E"</formula>
    </cfRule>
    <cfRule type="expression" dxfId="711" priority="440" stopIfTrue="1">
      <formula>S22="5C"</formula>
    </cfRule>
    <cfRule type="expression" dxfId="710" priority="441" stopIfTrue="1">
      <formula>S22="4D"</formula>
    </cfRule>
    <cfRule type="expression" dxfId="709" priority="442" stopIfTrue="1">
      <formula>S22="3E"</formula>
    </cfRule>
    <cfRule type="expression" dxfId="708" priority="443" stopIfTrue="1">
      <formula>S22="5B"</formula>
    </cfRule>
    <cfRule type="expression" dxfId="707" priority="444" stopIfTrue="1">
      <formula>S22="4C"</formula>
    </cfRule>
    <cfRule type="expression" dxfId="706" priority="445" stopIfTrue="1">
      <formula>S22="3D"</formula>
    </cfRule>
    <cfRule type="expression" dxfId="705" priority="446" stopIfTrue="1">
      <formula>S22="2E"</formula>
    </cfRule>
    <cfRule type="expression" dxfId="704" priority="447" stopIfTrue="1">
      <formula>S22="5A"</formula>
    </cfRule>
    <cfRule type="expression" dxfId="703" priority="448" stopIfTrue="1">
      <formula>S22="4B"</formula>
    </cfRule>
    <cfRule type="expression" dxfId="702" priority="449" stopIfTrue="1">
      <formula>S22="3C"</formula>
    </cfRule>
    <cfRule type="expression" dxfId="701" priority="450" stopIfTrue="1">
      <formula>S22="2D"</formula>
    </cfRule>
    <cfRule type="expression" dxfId="700" priority="451" stopIfTrue="1">
      <formula>S22="1E"</formula>
    </cfRule>
    <cfRule type="expression" dxfId="699" priority="452" stopIfTrue="1">
      <formula>S22="4A"</formula>
    </cfRule>
    <cfRule type="expression" dxfId="698" priority="453" stopIfTrue="1">
      <formula>S22="3B"</formula>
    </cfRule>
    <cfRule type="expression" dxfId="697" priority="454" stopIfTrue="1">
      <formula>S22="2C"</formula>
    </cfRule>
    <cfRule type="expression" dxfId="696" priority="455" stopIfTrue="1">
      <formula>S22="1D"</formula>
    </cfRule>
    <cfRule type="expression" dxfId="695" priority="456" stopIfTrue="1">
      <formula>S22="3A"</formula>
    </cfRule>
    <cfRule type="expression" dxfId="694" priority="457" stopIfTrue="1">
      <formula>S22="2B"</formula>
    </cfRule>
    <cfRule type="expression" dxfId="693" priority="458" stopIfTrue="1">
      <formula>S22="1C"</formula>
    </cfRule>
    <cfRule type="expression" dxfId="692" priority="459" stopIfTrue="1">
      <formula>S22="A2"</formula>
    </cfRule>
    <cfRule type="expression" dxfId="691" priority="460" stopIfTrue="1">
      <formula>S22="1B"</formula>
    </cfRule>
    <cfRule type="expression" dxfId="690" priority="461">
      <formula>S22="1A"</formula>
    </cfRule>
  </conditionalFormatting>
  <conditionalFormatting sqref="Q45">
    <cfRule type="containsBlanks" dxfId="689" priority="7">
      <formula>LEN(TRIM(Q45))=0</formula>
    </cfRule>
    <cfRule type="containsText" dxfId="688" priority="8" operator="containsText" text="NO">
      <formula>NOT(ISERROR(SEARCH("NO",Q45)))</formula>
    </cfRule>
    <cfRule type="containsText" dxfId="687" priority="9" operator="containsText" text="SI">
      <formula>NOT(ISERROR(SEARCH("SI",Q45)))</formula>
    </cfRule>
    <cfRule type="cellIs" dxfId="686" priority="10" operator="equal">
      <formula>$AL$28</formula>
    </cfRule>
    <cfRule type="cellIs" dxfId="685" priority="11" operator="equal">
      <formula>$AL$27</formula>
    </cfRule>
    <cfRule type="cellIs" dxfId="684" priority="12" operator="equal">
      <formula>$AL$26</formula>
    </cfRule>
  </conditionalFormatting>
  <conditionalFormatting sqref="Q12:R18">
    <cfRule type="expression" dxfId="683" priority="511">
      <formula>S12="1A"</formula>
    </cfRule>
  </conditionalFormatting>
  <conditionalFormatting sqref="Q19:R20">
    <cfRule type="expression" dxfId="682" priority="600">
      <formula>U19&gt;=53</formula>
    </cfRule>
    <cfRule type="expression" dxfId="681" priority="601">
      <formula>U19&gt;=43</formula>
    </cfRule>
    <cfRule type="expression" dxfId="680" priority="602">
      <formula>U19&gt;=29</formula>
    </cfRule>
    <cfRule type="expression" dxfId="679" priority="603">
      <formula>U19&gt;=15</formula>
    </cfRule>
    <cfRule type="expression" dxfId="678" priority="604">
      <formula>U19&gt;=0</formula>
    </cfRule>
  </conditionalFormatting>
  <conditionalFormatting sqref="Q29:R30">
    <cfRule type="expression" dxfId="677" priority="590">
      <formula>U29&gt;=53</formula>
    </cfRule>
    <cfRule type="expression" dxfId="676" priority="591">
      <formula>U29&gt;=43</formula>
    </cfRule>
    <cfRule type="expression" dxfId="675" priority="592">
      <formula>U29&gt;=29</formula>
    </cfRule>
    <cfRule type="expression" dxfId="674" priority="593">
      <formula>U29&gt;=15</formula>
    </cfRule>
    <cfRule type="expression" dxfId="673" priority="594">
      <formula>U29&gt;=0</formula>
    </cfRule>
  </conditionalFormatting>
  <conditionalFormatting sqref="R12:R18">
    <cfRule type="expression" dxfId="672" priority="413">
      <formula>T12="5E"</formula>
    </cfRule>
    <cfRule type="expression" dxfId="671" priority="414">
      <formula>T12="4E"</formula>
    </cfRule>
    <cfRule type="expression" dxfId="670" priority="415">
      <formula>T12="5D"</formula>
    </cfRule>
    <cfRule type="expression" dxfId="669" priority="416">
      <formula>T12="3E"</formula>
    </cfRule>
    <cfRule type="expression" dxfId="668" priority="417">
      <formula>T12="4D"</formula>
    </cfRule>
    <cfRule type="expression" dxfId="667" priority="418">
      <formula>T12="5C"</formula>
    </cfRule>
    <cfRule type="expression" dxfId="666" priority="419">
      <formula>T12="2E"</formula>
    </cfRule>
    <cfRule type="expression" dxfId="665" priority="420">
      <formula>T12="3D"</formula>
    </cfRule>
    <cfRule type="expression" dxfId="664" priority="421">
      <formula>T12="4C"</formula>
    </cfRule>
    <cfRule type="expression" dxfId="663" priority="422">
      <formula>T12="5B"</formula>
    </cfRule>
    <cfRule type="expression" dxfId="662" priority="423">
      <formula>T12="1E"</formula>
    </cfRule>
    <cfRule type="expression" dxfId="661" priority="424">
      <formula>T12="2D"</formula>
    </cfRule>
    <cfRule type="expression" dxfId="660" priority="425">
      <formula>T12="3C"</formula>
    </cfRule>
    <cfRule type="expression" dxfId="659" priority="426">
      <formula>T12="4B"</formula>
    </cfRule>
    <cfRule type="expression" dxfId="658" priority="427">
      <formula>T12="5A"</formula>
    </cfRule>
    <cfRule type="expression" dxfId="657" priority="428">
      <formula>T12="1D"</formula>
    </cfRule>
    <cfRule type="expression" dxfId="656" priority="429">
      <formula>T12="2C"</formula>
    </cfRule>
    <cfRule type="expression" dxfId="655" priority="430">
      <formula>T12="3B"</formula>
    </cfRule>
    <cfRule type="expression" dxfId="654" priority="431">
      <formula>T12="4A"</formula>
    </cfRule>
    <cfRule type="expression" dxfId="653" priority="432">
      <formula>T12="1C"</formula>
    </cfRule>
    <cfRule type="expression" dxfId="652" priority="433">
      <formula>T12="2B"</formula>
    </cfRule>
    <cfRule type="expression" dxfId="651" priority="434">
      <formula>T12="3A"</formula>
    </cfRule>
    <cfRule type="expression" dxfId="650" priority="435">
      <formula>T12="1B"</formula>
    </cfRule>
    <cfRule type="expression" dxfId="649" priority="436">
      <formula>T12="2A"</formula>
    </cfRule>
  </conditionalFormatting>
  <conditionalFormatting sqref="R22:R28">
    <cfRule type="expression" dxfId="648" priority="388">
      <formula>T22="5E"</formula>
    </cfRule>
    <cfRule type="expression" dxfId="647" priority="389">
      <formula>T22="4E"</formula>
    </cfRule>
    <cfRule type="expression" dxfId="646" priority="390">
      <formula>T22="5D"</formula>
    </cfRule>
    <cfRule type="expression" dxfId="645" priority="391">
      <formula>T22="3E"</formula>
    </cfRule>
    <cfRule type="expression" dxfId="644" priority="392">
      <formula>T22="4D"</formula>
    </cfRule>
    <cfRule type="expression" dxfId="643" priority="393">
      <formula>T22="5C"</formula>
    </cfRule>
    <cfRule type="expression" dxfId="642" priority="394">
      <formula>T22="2E"</formula>
    </cfRule>
    <cfRule type="expression" dxfId="641" priority="395">
      <formula>T22="3D"</formula>
    </cfRule>
    <cfRule type="expression" dxfId="640" priority="396">
      <formula>T22="4C"</formula>
    </cfRule>
    <cfRule type="expression" dxfId="639" priority="397">
      <formula>T22="5B"</formula>
    </cfRule>
    <cfRule type="expression" dxfId="638" priority="398">
      <formula>T22="1E"</formula>
    </cfRule>
    <cfRule type="expression" dxfId="637" priority="399">
      <formula>T22="2D"</formula>
    </cfRule>
    <cfRule type="expression" dxfId="636" priority="400">
      <formula>T22="3C"</formula>
    </cfRule>
    <cfRule type="expression" dxfId="635" priority="401">
      <formula>T22="4B"</formula>
    </cfRule>
    <cfRule type="expression" dxfId="634" priority="402">
      <formula>T22="5A"</formula>
    </cfRule>
    <cfRule type="expression" dxfId="633" priority="403">
      <formula>T22="1D"</formula>
    </cfRule>
    <cfRule type="expression" dxfId="632" priority="404">
      <formula>T22="2C"</formula>
    </cfRule>
    <cfRule type="expression" dxfId="631" priority="405">
      <formula>T22="3B"</formula>
    </cfRule>
    <cfRule type="expression" dxfId="630" priority="406">
      <formula>T22="4A"</formula>
    </cfRule>
    <cfRule type="expression" dxfId="629" priority="407">
      <formula>T22="1C"</formula>
    </cfRule>
    <cfRule type="expression" dxfId="628" priority="408">
      <formula>T22="2B"</formula>
    </cfRule>
    <cfRule type="expression" dxfId="627" priority="409">
      <formula>T22="3A"</formula>
    </cfRule>
    <cfRule type="expression" dxfId="626" priority="410">
      <formula>T22="1B"</formula>
    </cfRule>
    <cfRule type="expression" dxfId="625" priority="411">
      <formula>T22="2A"</formula>
    </cfRule>
    <cfRule type="expression" dxfId="624" priority="412">
      <formula>T22="1A"</formula>
    </cfRule>
  </conditionalFormatting>
  <conditionalFormatting sqref="S12:V18">
    <cfRule type="containsText" dxfId="623" priority="638" operator="containsText" text="5E">
      <formula>NOT(ISERROR(SEARCH("5E",S12)))</formula>
    </cfRule>
    <cfRule type="containsText" dxfId="622" priority="639" operator="containsText" text="5D">
      <formula>NOT(ISERROR(SEARCH("5D",S12)))</formula>
    </cfRule>
    <cfRule type="containsText" dxfId="621" priority="640" operator="containsText" text="4E">
      <formula>NOT(ISERROR(SEARCH("4E",S12)))</formula>
    </cfRule>
    <cfRule type="containsText" dxfId="620" priority="641" operator="containsText" text="5C">
      <formula>NOT(ISERROR(SEARCH("5C",S12)))</formula>
    </cfRule>
    <cfRule type="containsText" dxfId="619" priority="642" operator="containsText" text="4D">
      <formula>NOT(ISERROR(SEARCH("4D",S12)))</formula>
    </cfRule>
    <cfRule type="containsText" dxfId="618" priority="643" operator="containsText" text="3E">
      <formula>NOT(ISERROR(SEARCH("3E",S12)))</formula>
    </cfRule>
    <cfRule type="containsText" dxfId="617" priority="644" operator="containsText" text="5B">
      <formula>NOT(ISERROR(SEARCH("5B",S12)))</formula>
    </cfRule>
    <cfRule type="containsText" dxfId="616" priority="645" operator="containsText" text="4C">
      <formula>NOT(ISERROR(SEARCH("4C",S12)))</formula>
    </cfRule>
    <cfRule type="containsText" dxfId="615" priority="646" operator="containsText" text="3D">
      <formula>NOT(ISERROR(SEARCH("3D",S12)))</formula>
    </cfRule>
    <cfRule type="containsText" dxfId="614" priority="647" operator="containsText" text="2E">
      <formula>NOT(ISERROR(SEARCH("2E",S12)))</formula>
    </cfRule>
    <cfRule type="containsText" dxfId="613" priority="648" operator="containsText" text="5A">
      <formula>NOT(ISERROR(SEARCH("5A",S12)))</formula>
    </cfRule>
    <cfRule type="containsText" dxfId="612" priority="649" operator="containsText" text="4B">
      <formula>NOT(ISERROR(SEARCH("4B",S12)))</formula>
    </cfRule>
    <cfRule type="containsText" dxfId="611" priority="650" operator="containsText" text="3C">
      <formula>NOT(ISERROR(SEARCH("3C",S12)))</formula>
    </cfRule>
    <cfRule type="containsText" dxfId="610" priority="651" operator="containsText" text="2D">
      <formula>NOT(ISERROR(SEARCH("2D",S12)))</formula>
    </cfRule>
    <cfRule type="containsText" dxfId="609" priority="652" operator="containsText" text="1E">
      <formula>NOT(ISERROR(SEARCH("1E",S12)))</formula>
    </cfRule>
    <cfRule type="containsText" dxfId="608" priority="653" operator="containsText" text="4A">
      <formula>NOT(ISERROR(SEARCH("4A",S12)))</formula>
    </cfRule>
    <cfRule type="containsText" dxfId="607" priority="654" operator="containsText" text="3B">
      <formula>NOT(ISERROR(SEARCH("3B",S12)))</formula>
    </cfRule>
    <cfRule type="containsText" dxfId="606" priority="655" operator="containsText" text="2C">
      <formula>NOT(ISERROR(SEARCH("2C",S12)))</formula>
    </cfRule>
    <cfRule type="containsText" dxfId="605" priority="656" operator="containsText" text="1D">
      <formula>NOT(ISERROR(SEARCH("1D",S12)))</formula>
    </cfRule>
    <cfRule type="containsText" dxfId="604" priority="657" operator="containsText" text="3A">
      <formula>NOT(ISERROR(SEARCH("3A",S12)))</formula>
    </cfRule>
    <cfRule type="containsText" dxfId="603" priority="658" operator="containsText" text="2B">
      <formula>NOT(ISERROR(SEARCH("2B",S12)))</formula>
    </cfRule>
    <cfRule type="containsText" dxfId="602" priority="659" operator="containsText" text="1C">
      <formula>NOT(ISERROR(SEARCH("1C",S12)))</formula>
    </cfRule>
    <cfRule type="containsText" dxfId="601" priority="660" operator="containsText" text="2A">
      <formula>NOT(ISERROR(SEARCH("2A",S12)))</formula>
    </cfRule>
    <cfRule type="containsText" dxfId="600" priority="661" operator="containsText" text="1B">
      <formula>NOT(ISERROR(SEARCH("1B",S12)))</formula>
    </cfRule>
    <cfRule type="containsText" dxfId="599" priority="662" operator="containsText" text="1A">
      <formula>NOT(ISERROR(SEARCH("1A",S12)))</formula>
    </cfRule>
  </conditionalFormatting>
  <conditionalFormatting sqref="S22:V28">
    <cfRule type="containsText" dxfId="598" priority="515" operator="containsText" text="5E">
      <formula>NOT(ISERROR(SEARCH("5E",S22)))</formula>
    </cfRule>
    <cfRule type="containsText" dxfId="597" priority="516" operator="containsText" text="5D">
      <formula>NOT(ISERROR(SEARCH("5D",S22)))</formula>
    </cfRule>
    <cfRule type="containsText" dxfId="596" priority="517" operator="containsText" text="4E">
      <formula>NOT(ISERROR(SEARCH("4E",S22)))</formula>
    </cfRule>
    <cfRule type="containsText" dxfId="595" priority="518" operator="containsText" text="5C">
      <formula>NOT(ISERROR(SEARCH("5C",S22)))</formula>
    </cfRule>
    <cfRule type="containsText" dxfId="594" priority="519" operator="containsText" text="4D">
      <formula>NOT(ISERROR(SEARCH("4D",S22)))</formula>
    </cfRule>
    <cfRule type="containsText" dxfId="593" priority="520" operator="containsText" text="3E">
      <formula>NOT(ISERROR(SEARCH("3E",S22)))</formula>
    </cfRule>
    <cfRule type="containsText" dxfId="592" priority="521" operator="containsText" text="5B">
      <formula>NOT(ISERROR(SEARCH("5B",S22)))</formula>
    </cfRule>
    <cfRule type="containsText" dxfId="591" priority="522" operator="containsText" text="4C">
      <formula>NOT(ISERROR(SEARCH("4C",S22)))</formula>
    </cfRule>
    <cfRule type="containsText" dxfId="590" priority="523" operator="containsText" text="3D">
      <formula>NOT(ISERROR(SEARCH("3D",S22)))</formula>
    </cfRule>
    <cfRule type="containsText" dxfId="589" priority="524" operator="containsText" text="2E">
      <formula>NOT(ISERROR(SEARCH("2E",S22)))</formula>
    </cfRule>
    <cfRule type="containsText" dxfId="588" priority="525" operator="containsText" text="5A">
      <formula>NOT(ISERROR(SEARCH("5A",S22)))</formula>
    </cfRule>
    <cfRule type="containsText" dxfId="587" priority="526" operator="containsText" text="4B">
      <formula>NOT(ISERROR(SEARCH("4B",S22)))</formula>
    </cfRule>
    <cfRule type="containsText" dxfId="586" priority="527" operator="containsText" text="3C">
      <formula>NOT(ISERROR(SEARCH("3C",S22)))</formula>
    </cfRule>
    <cfRule type="containsText" dxfId="585" priority="528" operator="containsText" text="2D">
      <formula>NOT(ISERROR(SEARCH("2D",S22)))</formula>
    </cfRule>
    <cfRule type="containsText" dxfId="584" priority="529" operator="containsText" text="1E">
      <formula>NOT(ISERROR(SEARCH("1E",S22)))</formula>
    </cfRule>
    <cfRule type="containsText" dxfId="583" priority="530" operator="containsText" text="4A">
      <formula>NOT(ISERROR(SEARCH("4A",S22)))</formula>
    </cfRule>
    <cfRule type="containsText" dxfId="582" priority="531" operator="containsText" text="3B">
      <formula>NOT(ISERROR(SEARCH("3B",S22)))</formula>
    </cfRule>
    <cfRule type="containsText" dxfId="581" priority="532" operator="containsText" text="2C">
      <formula>NOT(ISERROR(SEARCH("2C",S22)))</formula>
    </cfRule>
    <cfRule type="containsText" dxfId="580" priority="533" operator="containsText" text="1D">
      <formula>NOT(ISERROR(SEARCH("1D",S22)))</formula>
    </cfRule>
    <cfRule type="containsText" dxfId="579" priority="534" operator="containsText" text="3A">
      <formula>NOT(ISERROR(SEARCH("3A",S22)))</formula>
    </cfRule>
    <cfRule type="containsText" dxfId="578" priority="535" operator="containsText" text="2B">
      <formula>NOT(ISERROR(SEARCH("2B",S22)))</formula>
    </cfRule>
    <cfRule type="containsText" dxfId="577" priority="536" operator="containsText" text="1C">
      <formula>NOT(ISERROR(SEARCH("1C",S22)))</formula>
    </cfRule>
    <cfRule type="containsText" dxfId="576" priority="537" operator="containsText" text="2A">
      <formula>NOT(ISERROR(SEARCH("2A",S22)))</formula>
    </cfRule>
    <cfRule type="containsText" dxfId="575" priority="538" operator="containsText" text="1B">
      <formula>NOT(ISERROR(SEARCH("1B",S22)))</formula>
    </cfRule>
    <cfRule type="containsText" dxfId="574" priority="539" operator="containsText" text="1A">
      <formula>NOT(ISERROR(SEARCH("1A",S22)))</formula>
    </cfRule>
  </conditionalFormatting>
  <conditionalFormatting sqref="Y24">
    <cfRule type="cellIs" dxfId="573" priority="918" operator="lessThan">
      <formula>4</formula>
    </cfRule>
    <cfRule type="cellIs" dxfId="572" priority="919" operator="equal">
      <formula>4</formula>
    </cfRule>
  </conditionalFormatting>
  <conditionalFormatting sqref="Z16">
    <cfRule type="cellIs" dxfId="571" priority="926" operator="greaterThan">
      <formula>120</formula>
    </cfRule>
  </conditionalFormatting>
  <conditionalFormatting sqref="Z17">
    <cfRule type="cellIs" dxfId="570" priority="927" operator="greaterThan">
      <formula>50</formula>
    </cfRule>
  </conditionalFormatting>
  <conditionalFormatting sqref="Z18">
    <cfRule type="cellIs" dxfId="569" priority="931" operator="greaterThan">
      <formula>2550</formula>
    </cfRule>
    <cfRule type="cellIs" dxfId="568" priority="932" operator="lessThan">
      <formula>1800</formula>
    </cfRule>
    <cfRule type="cellIs" dxfId="567" priority="933" operator="between">
      <formula>1800</formula>
      <formula>2550</formula>
    </cfRule>
  </conditionalFormatting>
  <conditionalFormatting sqref="Z20">
    <cfRule type="cellIs" dxfId="566" priority="928" operator="greaterThan">
      <formula>2550</formula>
    </cfRule>
    <cfRule type="cellIs" dxfId="565" priority="929" operator="lessThan">
      <formula>1800</formula>
    </cfRule>
    <cfRule type="cellIs" dxfId="564" priority="930" operator="between">
      <formula>1800</formula>
      <formula>2550</formula>
    </cfRule>
  </conditionalFormatting>
  <conditionalFormatting sqref="Z22">
    <cfRule type="cellIs" dxfId="563" priority="923" operator="lessThan">
      <formula>35</formula>
    </cfRule>
    <cfRule type="cellIs" dxfId="562" priority="924" operator="greaterThan">
      <formula>47.3</formula>
    </cfRule>
    <cfRule type="cellIs" dxfId="561" priority="925" operator="between">
      <formula>35</formula>
      <formula>47.3</formula>
    </cfRule>
  </conditionalFormatting>
  <conditionalFormatting sqref="AB8 Z8:Z9">
    <cfRule type="containsBlanks" dxfId="560" priority="906">
      <formula>LEN(TRIM(Z8))=0</formula>
    </cfRule>
  </conditionalFormatting>
  <conditionalFormatting sqref="AB22">
    <cfRule type="cellIs" dxfId="559" priority="920" operator="lessThan">
      <formula>35</formula>
    </cfRule>
    <cfRule type="cellIs" dxfId="558" priority="921" operator="greaterThan">
      <formula>47.3</formula>
    </cfRule>
    <cfRule type="cellIs" dxfId="557" priority="922" operator="between">
      <formula>35</formula>
      <formula>47.3</formula>
    </cfRule>
  </conditionalFormatting>
  <conditionalFormatting sqref="AE9:AF10 AE13:AE18 AE20 AF21">
    <cfRule type="containsBlanks" dxfId="556" priority="915">
      <formula>LEN(TRIM(AE9))=0</formula>
    </cfRule>
  </conditionalFormatting>
  <conditionalFormatting sqref="AG17">
    <cfRule type="cellIs" dxfId="555" priority="904" operator="lessThanOrEqual">
      <formula>120</formula>
    </cfRule>
    <cfRule type="cellIs" dxfId="554" priority="905" operator="greaterThan">
      <formula>120</formula>
    </cfRule>
  </conditionalFormatting>
  <conditionalFormatting sqref="AM17:AN18">
    <cfRule type="cellIs" dxfId="553" priority="916" operator="equal">
      <formula>"NO"</formula>
    </cfRule>
    <cfRule type="cellIs" dxfId="552" priority="917" operator="equal">
      <formula>"SI"</formula>
    </cfRule>
  </conditionalFormatting>
  <conditionalFormatting sqref="AS64:AS65">
    <cfRule type="containsText" dxfId="551" priority="689" operator="containsText" text="No">
      <formula>NOT(ISERROR(SEARCH("No",AS64)))</formula>
    </cfRule>
  </conditionalFormatting>
  <conditionalFormatting sqref="AZ2:BD2">
    <cfRule type="colorScale" priority="748">
      <colorScale>
        <cfvo type="min"/>
        <cfvo type="percentile" val="50"/>
        <cfvo type="max"/>
        <color rgb="FF63BE7B"/>
        <color rgb="FFFFEB84"/>
        <color rgb="FFF8696B"/>
      </colorScale>
    </cfRule>
  </conditionalFormatting>
  <dataValidations disablePrompts="1" count="29">
    <dataValidation operator="equal" allowBlank="1" showInputMessage="1" showErrorMessage="1" sqref="Z9:AC9" xr:uid="{0E59091C-1432-9049-9AA4-B7909621B0C6}"/>
    <dataValidation type="whole" allowBlank="1" showInputMessage="1" showErrorMessage="1" sqref="AE13:AE14" xr:uid="{FC886A04-B4AF-894A-81BB-4C5BE6EB6AD4}">
      <formula1>0</formula1>
      <formula2>200</formula2>
    </dataValidation>
    <dataValidation type="whole" allowBlank="1" showInputMessage="1" showErrorMessage="1" sqref="AF21" xr:uid="{46675353-999D-6241-8E87-A9E56A220C60}">
      <formula1>0</formula1>
      <formula2>53</formula2>
    </dataValidation>
    <dataValidation type="whole" allowBlank="1" showInputMessage="1" showErrorMessage="1" sqref="AE20" xr:uid="{7B3FE752-0C00-AF45-9E76-2B29016F7A10}">
      <formula1>0</formula1>
      <formula2>380</formula2>
    </dataValidation>
    <dataValidation type="whole" allowBlank="1" showInputMessage="1" showErrorMessage="1" sqref="AE17" xr:uid="{43341681-73ED-2748-9AFE-550548123BA3}">
      <formula1>0</formula1>
      <formula2>54</formula2>
    </dataValidation>
    <dataValidation type="whole" allowBlank="1" showInputMessage="1" showErrorMessage="1" sqref="AE18" xr:uid="{4F516768-DF95-5D4C-A456-41D1D88C61DE}">
      <formula1>0</formula1>
      <formula2>23</formula2>
    </dataValidation>
    <dataValidation type="whole" allowBlank="1" showInputMessage="1" showErrorMessage="1" sqref="AE15:AE16" xr:uid="{948B3A9C-B73B-C04D-8645-E20D4D77E888}">
      <formula1>0</formula1>
      <formula2>220</formula2>
    </dataValidation>
    <dataValidation type="list" allowBlank="1" showInputMessage="1" showErrorMessage="1" sqref="F14 Q45" xr:uid="{10BA1912-CC8E-2043-B41B-82224DDCB470}">
      <formula1>$AK$26:$AK$28</formula1>
    </dataValidation>
    <dataValidation type="list" allowBlank="1" showInputMessage="1" showErrorMessage="1" sqref="B29 D19:D20 H23:H24 B13 D12:D14 B24:B26 F24 F19:F20 H17:H18 F17 D17 H20 B17 B19:B20" xr:uid="{C08554D3-C7F9-DB4A-BD2D-B96AF499664E}">
      <formula1>$AL$26:$AL$27</formula1>
    </dataValidation>
    <dataValidation type="list" allowBlank="1" showInputMessage="1" showErrorMessage="1" sqref="D18 F25:F27 B18 F18 B27 F29 H12:H13 B14 B23 H19 F12:F13 D25:D27 H29" xr:uid="{A476BDFD-F3FD-7644-B7EB-C16CEB67EB03}">
      <formula1>$AL$26:$AL$28</formula1>
    </dataValidation>
    <dataValidation type="list" allowBlank="1" showInputMessage="1" showErrorMessage="1" sqref="AB8" xr:uid="{5AE2111F-7260-2F43-9ED4-221541DBF0B2}">
      <formula1>$AD$27:$AD$28</formula1>
    </dataValidation>
    <dataValidation type="list" allowBlank="1" showInputMessage="1" showErrorMessage="1" sqref="L14:M14" xr:uid="{E58E0E2A-951C-4E4D-88FF-C661484C1931}">
      <formula1>$BJ$3:$BJ$5</formula1>
    </dataValidation>
    <dataValidation type="list" allowBlank="1" showInputMessage="1" showErrorMessage="1" sqref="L16:M16" xr:uid="{617A52DD-EFDC-394A-BDB9-379380037177}">
      <formula1>$BL$3:$BL$5</formula1>
    </dataValidation>
    <dataValidation type="list" allowBlank="1" showInputMessage="1" showErrorMessage="1" sqref="L17:M17" xr:uid="{82B8CCB8-53DF-4944-A058-C6EA80F19F00}">
      <formula1>$BN$3:$BN$6</formula1>
    </dataValidation>
    <dataValidation type="list" allowBlank="1" showInputMessage="1" showErrorMessage="1" sqref="L18:M18" xr:uid="{5944062C-374A-A346-B31C-71CC5E43BE6B}">
      <formula1>$BP$3:$BP$7</formula1>
    </dataValidation>
    <dataValidation type="list" allowBlank="1" showInputMessage="1" showErrorMessage="1" sqref="L20:M20" xr:uid="{FDE5E8DC-657F-AA45-9845-F236F6A11E2D}">
      <formula1>$BT$3:$BT$4</formula1>
    </dataValidation>
    <dataValidation type="list" allowBlank="1" showInputMessage="1" showErrorMessage="1" sqref="L32" xr:uid="{85C8635B-C4C4-024C-A0B4-39610BA74036}">
      <formula1>$CN$3:$CN$6</formula1>
    </dataValidation>
    <dataValidation type="list" allowBlank="1" showInputMessage="1" showErrorMessage="1" sqref="L26:M26" xr:uid="{CA5C1E0B-2499-DC4C-A9D9-0430D8505FD5}">
      <formula1>$CB$3:$CB$6</formula1>
    </dataValidation>
    <dataValidation type="list" allowBlank="1" showInputMessage="1" showErrorMessage="1" sqref="L27:M27" xr:uid="{C9E1E323-D4FF-6E46-B3CB-B12AF6F7B121}">
      <formula1>$CD$3:$CD$6</formula1>
    </dataValidation>
    <dataValidation type="list" allowBlank="1" showInputMessage="1" showErrorMessage="1" sqref="L28:M28" xr:uid="{60BD7BA0-90A8-3D4A-AF45-BA659CD81DBE}">
      <formula1>$CF$3:$CF$6</formula1>
    </dataValidation>
    <dataValidation type="list" allowBlank="1" showInputMessage="1" showErrorMessage="1" sqref="L29:M29" xr:uid="{AB0E1C76-EC13-584B-86B0-883B62B7DE1B}">
      <formula1>$CH$3:$CH$5</formula1>
    </dataValidation>
    <dataValidation type="list" allowBlank="1" showInputMessage="1" showErrorMessage="1" sqref="L30:M30" xr:uid="{4223D91C-94F4-C443-B665-731FBB9406F1}">
      <formula1>$CJ$3:$CJ$6</formula1>
    </dataValidation>
    <dataValidation type="list" allowBlank="1" showInputMessage="1" showErrorMessage="1" sqref="D23:D24" xr:uid="{4B38313E-BADC-B24C-ABF7-4DF7D2E26DF8}">
      <formula1>$AP$26:$AP$37</formula1>
    </dataValidation>
    <dataValidation type="list" allowBlank="1" showInputMessage="1" showErrorMessage="1" sqref="W8:X8 J8 P8" xr:uid="{27C4308E-9D83-8F4A-8F00-7376A30BFF78}">
      <formula1>$AJ$26:$AJ$34</formula1>
    </dataValidation>
    <dataValidation type="list" allowBlank="1" showInputMessage="1" showErrorMessage="1" sqref="L24:M24" xr:uid="{97E25916-55F9-FB46-803A-D0D650908D9C}">
      <formula1>$BZ$3:$BZ$6</formula1>
    </dataValidation>
    <dataValidation type="list" allowBlank="1" showInputMessage="1" showErrorMessage="1" sqref="L31:M31" xr:uid="{BEBA7343-4C72-A64E-AE15-7E0020A28851}">
      <formula1>$CL$3:$CL$9</formula1>
    </dataValidation>
    <dataValidation type="list" allowBlank="1" showInputMessage="1" showErrorMessage="1" sqref="H8:I9 L8:M9" xr:uid="{3236F4BE-DE53-4C4D-95E2-1D3311FDA255}">
      <formula1>$AR$33:$AR$65</formula1>
    </dataValidation>
    <dataValidation type="list" allowBlank="1" showInputMessage="1" showErrorMessage="1" sqref="AE9" xr:uid="{1D4F38FE-C2F5-B143-B227-77CD1CDE7177}">
      <formula1>$AD$32:$AD$39</formula1>
    </dataValidation>
    <dataValidation type="list" allowBlank="1" showInputMessage="1" showErrorMessage="1" sqref="D9:E9" xr:uid="{88E111F8-BB52-0449-A720-7D627A555557}">
      <formula1>$BV$3:$BV$62</formula1>
    </dataValidation>
  </dataValidations>
  <hyperlinks>
    <hyperlink ref="Q36:R39" r:id="rId1" display="Briefing Tool" xr:uid="{85EC5D72-1B4D-FF40-8B65-BA2B8B3D8595}"/>
  </hyperlinks>
  <printOptions horizontalCentered="1" verticalCentered="1"/>
  <pageMargins left="0.11811023622047245" right="0.11811023622047245" top="0.11811023622047245" bottom="0.11811023622047245" header="0" footer="0"/>
  <pageSetup scale="39" fitToHeight="2" orientation="landscape" r:id="rId2"/>
  <headerFooter scaleWithDoc="0" alignWithMargins="0"/>
  <rowBreaks count="1" manualBreakCount="1">
    <brk id="45" max="27" man="1"/>
  </rowBreaks>
  <ignoredErrors>
    <ignoredError sqref="L19" unlockedFormula="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381F9-DD66-9E43-A8CF-0E9B7C0FF826}">
  <sheetPr codeName="Hoja2">
    <tabColor theme="7"/>
  </sheetPr>
  <dimension ref="A1:CJ85"/>
  <sheetViews>
    <sheetView tabSelected="1" topLeftCell="K1" zoomScale="60" zoomScaleNormal="60" zoomScaleSheetLayoutView="55" zoomScalePageLayoutView="56" workbookViewId="0">
      <selection activeCell="AD9" sqref="AD9"/>
    </sheetView>
  </sheetViews>
  <sheetFormatPr baseColWidth="10" defaultColWidth="0" defaultRowHeight="30" customHeight="1" zeroHeight="1" x14ac:dyDescent="0.3"/>
  <cols>
    <col min="1" max="1" width="7.44140625" style="13" customWidth="1"/>
    <col min="2" max="2" width="6.109375" style="12" customWidth="1"/>
    <col min="3" max="3" width="22.44140625" style="13" customWidth="1"/>
    <col min="4" max="4" width="6.109375" style="12" customWidth="1"/>
    <col min="5" max="5" width="22.44140625" style="13" customWidth="1"/>
    <col min="6" max="6" width="6.109375" style="12" customWidth="1"/>
    <col min="7" max="7" width="22.44140625" style="13" customWidth="1"/>
    <col min="8" max="8" width="6.109375" style="12" customWidth="1"/>
    <col min="9" max="9" width="22.44140625" style="13" customWidth="1"/>
    <col min="10" max="10" width="2.88671875" style="13" customWidth="1"/>
    <col min="11" max="11" width="33.88671875" style="13" customWidth="1"/>
    <col min="12" max="13" width="11.88671875" style="13" customWidth="1"/>
    <col min="14" max="15" width="8.88671875" style="13" hidden="1" customWidth="1"/>
    <col min="16" max="16" width="3.109375" style="13" customWidth="1"/>
    <col min="17" max="18" width="8.88671875" style="13" customWidth="1"/>
    <col min="19" max="22" width="8.88671875" style="13" hidden="1" customWidth="1"/>
    <col min="23" max="23" width="2.88671875" style="13" customWidth="1"/>
    <col min="24" max="24" width="30.6640625" style="47" customWidth="1"/>
    <col min="25" max="25" width="26.33203125" style="13" customWidth="1"/>
    <col min="26" max="26" width="30.44140625" style="13" customWidth="1"/>
    <col min="27" max="27" width="26.33203125" style="13" customWidth="1"/>
    <col min="28" max="28" width="7.44140625" style="13" customWidth="1"/>
    <col min="29" max="29" width="28.33203125" style="13" customWidth="1"/>
    <col min="30" max="30" width="23.44140625" style="13" customWidth="1"/>
    <col min="31" max="33" width="20" style="13" customWidth="1"/>
    <col min="34" max="34" width="20" style="13" hidden="1" customWidth="1"/>
    <col min="35" max="35" width="5.44140625" style="13" customWidth="1"/>
    <col min="36" max="41" width="11.44140625" style="13" hidden="1" customWidth="1"/>
    <col min="42" max="42" width="9.109375" style="13" hidden="1" customWidth="1"/>
    <col min="43" max="43" width="11.44140625" style="12" hidden="1" customWidth="1"/>
    <col min="44" max="50" width="11.44140625" style="13" hidden="1" customWidth="1"/>
    <col min="51" max="51" width="29.44140625" style="13" hidden="1" customWidth="1"/>
    <col min="52" max="52" width="19" style="13" hidden="1" customWidth="1"/>
    <col min="53" max="53" width="30.88671875" style="13" hidden="1" customWidth="1"/>
    <col min="54" max="54" width="7" style="13" hidden="1" customWidth="1"/>
    <col min="55" max="55" width="19.6640625" style="13" hidden="1" customWidth="1"/>
    <col min="56" max="56" width="10" style="13" hidden="1" customWidth="1"/>
    <col min="57" max="57" width="31.6640625" style="13" hidden="1" customWidth="1"/>
    <col min="58" max="58" width="11" style="13" hidden="1" customWidth="1"/>
    <col min="59" max="59" width="26.33203125" style="13" hidden="1" customWidth="1"/>
    <col min="60" max="60" width="7" style="13" hidden="1" customWidth="1"/>
    <col min="61" max="61" width="20.6640625" style="12" hidden="1" customWidth="1"/>
    <col min="62" max="62" width="7" style="13" hidden="1" customWidth="1"/>
    <col min="63" max="63" width="21" style="13" hidden="1" customWidth="1"/>
    <col min="64" max="66" width="7" style="13" hidden="1" customWidth="1"/>
    <col min="67" max="67" width="18.6640625" style="13" hidden="1" customWidth="1"/>
    <col min="68" max="68" width="7" style="12" hidden="1" customWidth="1"/>
    <col min="69" max="69" width="17.6640625" style="13" hidden="1" customWidth="1"/>
    <col min="70" max="70" width="7" style="13" hidden="1" customWidth="1"/>
    <col min="71" max="71" width="21.6640625" style="13" hidden="1" customWidth="1"/>
    <col min="72" max="72" width="7" style="13" hidden="1" customWidth="1"/>
    <col min="73" max="73" width="14.109375" style="13" hidden="1" customWidth="1"/>
    <col min="74" max="74" width="7" style="13" hidden="1" customWidth="1"/>
    <col min="75" max="75" width="13.6640625" style="13" hidden="1" customWidth="1"/>
    <col min="76" max="76" width="7" style="13" hidden="1" customWidth="1"/>
    <col min="77" max="77" width="17.33203125" style="13" hidden="1" customWidth="1"/>
    <col min="78" max="78" width="7" style="13" hidden="1" customWidth="1"/>
    <col min="79" max="79" width="20" style="13" hidden="1" customWidth="1"/>
    <col min="80" max="80" width="7" style="13" hidden="1" customWidth="1"/>
    <col min="81" max="81" width="15.88671875" style="13" hidden="1" customWidth="1"/>
    <col min="82" max="82" width="7" style="13" hidden="1" customWidth="1"/>
    <col min="83" max="83" width="22.33203125" style="13" hidden="1" customWidth="1"/>
    <col min="84" max="84" width="7.44140625" style="13" hidden="1" customWidth="1"/>
    <col min="85" max="85" width="29.44140625" style="13" hidden="1" customWidth="1"/>
    <col min="86" max="86" width="7.44140625" style="13" hidden="1" customWidth="1"/>
    <col min="87" max="87" width="29.88671875" style="13" hidden="1" customWidth="1"/>
    <col min="88" max="88" width="7.44140625" style="13" hidden="1" customWidth="1"/>
    <col min="89" max="16384" width="11.44140625" style="13" hidden="1"/>
  </cols>
  <sheetData>
    <row r="1" spans="1:88" ht="21.9" customHeight="1" x14ac:dyDescent="0.3">
      <c r="A1" s="9"/>
      <c r="B1" s="10"/>
      <c r="C1" s="9"/>
      <c r="D1" s="10"/>
      <c r="E1" s="9"/>
      <c r="F1" s="10"/>
      <c r="G1" s="9"/>
      <c r="H1" s="10"/>
      <c r="I1" s="9"/>
      <c r="J1" s="9"/>
      <c r="K1" s="9"/>
      <c r="L1" s="9"/>
      <c r="M1" s="9"/>
      <c r="N1" s="9"/>
      <c r="O1" s="9"/>
      <c r="P1" s="9"/>
      <c r="Q1" s="9"/>
      <c r="R1" s="9"/>
      <c r="S1" s="9"/>
      <c r="T1" s="9"/>
      <c r="U1" s="9"/>
      <c r="V1" s="9"/>
      <c r="W1" s="9"/>
      <c r="X1" s="11"/>
      <c r="Y1" s="9"/>
      <c r="Z1" s="9"/>
      <c r="AA1" s="11"/>
      <c r="AB1" s="9"/>
      <c r="AC1" s="9"/>
      <c r="AD1" s="9"/>
      <c r="AE1" s="9"/>
      <c r="AF1" s="9"/>
      <c r="AG1" s="9"/>
      <c r="AH1" s="9"/>
      <c r="AI1" s="9"/>
    </row>
    <row r="2" spans="1:88" ht="32.1" customHeight="1" x14ac:dyDescent="0.3">
      <c r="A2" s="9"/>
      <c r="B2" s="323"/>
      <c r="C2" s="324"/>
      <c r="D2" s="329" t="s">
        <v>0</v>
      </c>
      <c r="E2" s="330"/>
      <c r="F2" s="330"/>
      <c r="G2" s="330"/>
      <c r="H2" s="330"/>
      <c r="I2" s="330"/>
      <c r="J2" s="330"/>
      <c r="K2" s="330"/>
      <c r="L2" s="330"/>
      <c r="M2" s="330"/>
      <c r="N2" s="330"/>
      <c r="O2" s="330"/>
      <c r="P2" s="330"/>
      <c r="Q2" s="330"/>
      <c r="R2" s="330"/>
      <c r="S2" s="330"/>
      <c r="T2" s="330"/>
      <c r="U2" s="330"/>
      <c r="V2" s="330"/>
      <c r="W2" s="330"/>
      <c r="X2" s="330"/>
      <c r="Y2" s="330"/>
      <c r="Z2" s="331"/>
      <c r="AA2" s="290" t="s">
        <v>864</v>
      </c>
      <c r="AB2" s="9"/>
      <c r="AC2" s="428" t="s">
        <v>707</v>
      </c>
      <c r="AD2" s="429"/>
      <c r="AE2" s="429"/>
      <c r="AF2" s="429"/>
      <c r="AG2" s="430"/>
      <c r="AH2" s="9"/>
      <c r="AI2" s="9"/>
      <c r="AY2" s="15" t="s">
        <v>141</v>
      </c>
      <c r="AZ2" s="14"/>
      <c r="BA2" s="15" t="s">
        <v>142</v>
      </c>
      <c r="BB2" s="14"/>
      <c r="BC2" s="116" t="s">
        <v>164</v>
      </c>
      <c r="BD2" s="14"/>
      <c r="BE2" s="116" t="s">
        <v>162</v>
      </c>
      <c r="BF2" s="14"/>
      <c r="BG2" s="116" t="s">
        <v>165</v>
      </c>
      <c r="BH2" s="14"/>
      <c r="BI2" s="16" t="s">
        <v>225</v>
      </c>
      <c r="BJ2" s="14"/>
      <c r="BK2" s="116" t="s">
        <v>166</v>
      </c>
      <c r="BL2" s="14"/>
      <c r="BM2" s="14" t="s">
        <v>231</v>
      </c>
      <c r="BN2" s="14"/>
      <c r="BO2" s="15" t="s">
        <v>151</v>
      </c>
      <c r="BP2" s="14"/>
      <c r="BQ2" s="15" t="s">
        <v>152</v>
      </c>
      <c r="BR2" s="14"/>
      <c r="BS2" s="15" t="s">
        <v>155</v>
      </c>
      <c r="BT2" s="14"/>
      <c r="BU2" s="15" t="s">
        <v>134</v>
      </c>
      <c r="BV2" s="14"/>
      <c r="BW2" s="15" t="s">
        <v>135</v>
      </c>
      <c r="BX2" s="14"/>
      <c r="BY2" s="15" t="s">
        <v>136</v>
      </c>
      <c r="BZ2" s="14"/>
      <c r="CA2" s="15" t="s">
        <v>137</v>
      </c>
      <c r="CB2" s="14"/>
      <c r="CC2" s="15" t="s">
        <v>138</v>
      </c>
      <c r="CD2" s="14"/>
      <c r="CE2" s="15" t="s">
        <v>139</v>
      </c>
      <c r="CF2" s="15"/>
      <c r="CG2" s="15" t="s">
        <v>153</v>
      </c>
      <c r="CH2" s="15"/>
      <c r="CI2" s="15" t="s">
        <v>154</v>
      </c>
      <c r="CJ2" s="15"/>
    </row>
    <row r="3" spans="1:88" ht="32.1" customHeight="1" x14ac:dyDescent="0.3">
      <c r="A3" s="9"/>
      <c r="B3" s="325"/>
      <c r="C3" s="326"/>
      <c r="D3" s="332" t="s">
        <v>403</v>
      </c>
      <c r="E3" s="333"/>
      <c r="F3" s="333"/>
      <c r="G3" s="333"/>
      <c r="H3" s="333"/>
      <c r="I3" s="333"/>
      <c r="J3" s="333"/>
      <c r="K3" s="333"/>
      <c r="L3" s="333"/>
      <c r="M3" s="333"/>
      <c r="N3" s="333"/>
      <c r="O3" s="333"/>
      <c r="P3" s="333"/>
      <c r="Q3" s="333"/>
      <c r="R3" s="333"/>
      <c r="S3" s="333"/>
      <c r="T3" s="333"/>
      <c r="U3" s="333"/>
      <c r="V3" s="333"/>
      <c r="W3" s="333"/>
      <c r="X3" s="333"/>
      <c r="Y3" s="333"/>
      <c r="Z3" s="334"/>
      <c r="AA3" s="291" t="s">
        <v>549</v>
      </c>
      <c r="AB3" s="9"/>
      <c r="AC3" s="431"/>
      <c r="AD3" s="432"/>
      <c r="AE3" s="432"/>
      <c r="AF3" s="432"/>
      <c r="AG3" s="433"/>
      <c r="AH3" s="9"/>
      <c r="AI3" s="9"/>
      <c r="AY3" s="15" t="s">
        <v>181</v>
      </c>
      <c r="AZ3" s="16">
        <v>1</v>
      </c>
      <c r="BA3" s="15" t="s">
        <v>183</v>
      </c>
      <c r="BB3" s="16">
        <v>1</v>
      </c>
      <c r="BC3" s="15" t="s">
        <v>187</v>
      </c>
      <c r="BD3" s="16">
        <v>1</v>
      </c>
      <c r="BE3" s="15" t="s">
        <v>198</v>
      </c>
      <c r="BF3" s="16">
        <v>1</v>
      </c>
      <c r="BG3" s="15" t="s">
        <v>183</v>
      </c>
      <c r="BH3" s="16">
        <v>1</v>
      </c>
      <c r="BI3" s="16" t="s">
        <v>230</v>
      </c>
      <c r="BJ3" s="16">
        <v>1</v>
      </c>
      <c r="BK3" s="15" t="s">
        <v>190</v>
      </c>
      <c r="BL3" s="16">
        <v>1</v>
      </c>
      <c r="BM3" s="16" t="s">
        <v>215</v>
      </c>
      <c r="BN3" s="16">
        <v>1</v>
      </c>
      <c r="BO3" s="16" t="s">
        <v>98</v>
      </c>
      <c r="BP3" s="16">
        <v>5</v>
      </c>
      <c r="BQ3" s="16" t="s">
        <v>219</v>
      </c>
      <c r="BR3" s="16">
        <v>1</v>
      </c>
      <c r="BS3" s="15" t="s">
        <v>215</v>
      </c>
      <c r="BT3" s="16">
        <v>1</v>
      </c>
      <c r="BU3" s="15" t="s">
        <v>169</v>
      </c>
      <c r="BV3" s="16">
        <v>1</v>
      </c>
      <c r="BW3" s="15" t="s">
        <v>172</v>
      </c>
      <c r="BX3" s="16">
        <v>1</v>
      </c>
      <c r="BY3" s="16" t="s">
        <v>234</v>
      </c>
      <c r="BZ3" s="16">
        <v>1</v>
      </c>
      <c r="CA3" s="16" t="s">
        <v>215</v>
      </c>
      <c r="CB3" s="16">
        <v>1</v>
      </c>
      <c r="CC3" s="16" t="s">
        <v>238</v>
      </c>
      <c r="CD3" s="16">
        <v>1</v>
      </c>
      <c r="CE3" s="15">
        <v>1</v>
      </c>
      <c r="CF3" s="15">
        <v>1</v>
      </c>
      <c r="CG3" s="16" t="s">
        <v>248</v>
      </c>
      <c r="CH3" s="15">
        <v>1</v>
      </c>
      <c r="CI3" s="16" t="s">
        <v>246</v>
      </c>
      <c r="CJ3" s="15">
        <v>1</v>
      </c>
    </row>
    <row r="4" spans="1:88" ht="32.1" customHeight="1" x14ac:dyDescent="0.3">
      <c r="A4" s="9"/>
      <c r="B4" s="325"/>
      <c r="C4" s="326"/>
      <c r="D4" s="335" t="s">
        <v>862</v>
      </c>
      <c r="E4" s="335"/>
      <c r="F4" s="335"/>
      <c r="G4" s="335"/>
      <c r="H4" s="335"/>
      <c r="I4" s="335"/>
      <c r="J4" s="335"/>
      <c r="K4" s="335"/>
      <c r="L4" s="335"/>
      <c r="M4" s="335"/>
      <c r="N4" s="335"/>
      <c r="O4" s="335"/>
      <c r="P4" s="335"/>
      <c r="Q4" s="335"/>
      <c r="R4" s="335"/>
      <c r="S4" s="335"/>
      <c r="T4" s="335"/>
      <c r="U4" s="335"/>
      <c r="V4" s="335"/>
      <c r="W4" s="335"/>
      <c r="X4" s="335"/>
      <c r="Y4" s="335"/>
      <c r="Z4" s="335"/>
      <c r="AA4" s="292" t="s">
        <v>947</v>
      </c>
      <c r="AB4" s="9"/>
      <c r="AC4" s="431"/>
      <c r="AD4" s="432"/>
      <c r="AE4" s="432"/>
      <c r="AF4" s="432"/>
      <c r="AG4" s="433"/>
      <c r="AH4" s="9"/>
      <c r="AI4" s="9"/>
      <c r="AY4" s="15" t="s">
        <v>182</v>
      </c>
      <c r="AZ4" s="16">
        <v>5</v>
      </c>
      <c r="BA4" s="15" t="s">
        <v>184</v>
      </c>
      <c r="BB4" s="16">
        <v>2</v>
      </c>
      <c r="BC4" s="17" t="s">
        <v>188</v>
      </c>
      <c r="BD4" s="16">
        <v>3</v>
      </c>
      <c r="BE4" s="15" t="s">
        <v>199</v>
      </c>
      <c r="BF4" s="16">
        <v>3</v>
      </c>
      <c r="BG4" s="15" t="s">
        <v>184</v>
      </c>
      <c r="BH4" s="16">
        <v>2</v>
      </c>
      <c r="BI4" s="16" t="s">
        <v>229</v>
      </c>
      <c r="BJ4" s="16">
        <v>2</v>
      </c>
      <c r="BK4" s="15" t="s">
        <v>191</v>
      </c>
      <c r="BL4" s="16">
        <v>2</v>
      </c>
      <c r="BM4" s="16" t="s">
        <v>232</v>
      </c>
      <c r="BN4" s="16">
        <v>5</v>
      </c>
      <c r="BO4" s="16" t="s">
        <v>107</v>
      </c>
      <c r="BP4" s="16">
        <v>2</v>
      </c>
      <c r="BQ4" s="16" t="s">
        <v>220</v>
      </c>
      <c r="BR4" s="16">
        <v>2</v>
      </c>
      <c r="BS4" s="15" t="s">
        <v>216</v>
      </c>
      <c r="BT4" s="16">
        <v>2</v>
      </c>
      <c r="BU4" s="15" t="s">
        <v>170</v>
      </c>
      <c r="BV4" s="16">
        <v>3</v>
      </c>
      <c r="BW4" s="16" t="s">
        <v>254</v>
      </c>
      <c r="BX4" s="16">
        <v>3</v>
      </c>
      <c r="BY4" s="16" t="s">
        <v>235</v>
      </c>
      <c r="BZ4" s="16">
        <v>3</v>
      </c>
      <c r="CA4" s="16" t="s">
        <v>232</v>
      </c>
      <c r="CB4" s="16">
        <v>5</v>
      </c>
      <c r="CC4" s="16" t="s">
        <v>240</v>
      </c>
      <c r="CD4" s="16">
        <v>3</v>
      </c>
      <c r="CE4" s="15">
        <v>2</v>
      </c>
      <c r="CF4" s="15">
        <v>2</v>
      </c>
      <c r="CG4" s="16" t="s">
        <v>249</v>
      </c>
      <c r="CH4" s="15">
        <v>3</v>
      </c>
      <c r="CI4" s="16" t="s">
        <v>245</v>
      </c>
      <c r="CJ4" s="15">
        <v>3</v>
      </c>
    </row>
    <row r="5" spans="1:88" ht="32.1" customHeight="1" x14ac:dyDescent="0.3">
      <c r="A5" s="9"/>
      <c r="B5" s="327"/>
      <c r="C5" s="328"/>
      <c r="D5" s="336"/>
      <c r="E5" s="336"/>
      <c r="F5" s="336"/>
      <c r="G5" s="336"/>
      <c r="H5" s="336"/>
      <c r="I5" s="336"/>
      <c r="J5" s="336"/>
      <c r="K5" s="336"/>
      <c r="L5" s="336"/>
      <c r="M5" s="336"/>
      <c r="N5" s="336"/>
      <c r="O5" s="336"/>
      <c r="P5" s="336"/>
      <c r="Q5" s="336"/>
      <c r="R5" s="336"/>
      <c r="S5" s="336"/>
      <c r="T5" s="336"/>
      <c r="U5" s="336"/>
      <c r="V5" s="336"/>
      <c r="W5" s="336"/>
      <c r="X5" s="336"/>
      <c r="Y5" s="336"/>
      <c r="Z5" s="336"/>
      <c r="AA5" s="293" t="s">
        <v>948</v>
      </c>
      <c r="AB5" s="9"/>
      <c r="AC5" s="434"/>
      <c r="AD5" s="435"/>
      <c r="AE5" s="435"/>
      <c r="AF5" s="435"/>
      <c r="AG5" s="436"/>
      <c r="AH5" s="9"/>
      <c r="AI5" s="9"/>
      <c r="AY5" s="15"/>
      <c r="AZ5" s="16"/>
      <c r="BA5" s="17" t="s">
        <v>185</v>
      </c>
      <c r="BB5" s="16">
        <v>3</v>
      </c>
      <c r="BC5" s="15" t="s">
        <v>189</v>
      </c>
      <c r="BD5" s="16">
        <v>5</v>
      </c>
      <c r="BE5" s="15" t="s">
        <v>200</v>
      </c>
      <c r="BF5" s="16">
        <v>5</v>
      </c>
      <c r="BG5" s="17" t="s">
        <v>185</v>
      </c>
      <c r="BH5" s="16">
        <v>3</v>
      </c>
      <c r="BI5" s="16" t="s">
        <v>228</v>
      </c>
      <c r="BJ5" s="16">
        <v>3</v>
      </c>
      <c r="BK5" s="15" t="s">
        <v>192</v>
      </c>
      <c r="BL5" s="16">
        <v>3</v>
      </c>
      <c r="BM5" s="16"/>
      <c r="BN5" s="16"/>
      <c r="BO5" s="18" t="s">
        <v>115</v>
      </c>
      <c r="BP5" s="16">
        <v>15</v>
      </c>
      <c r="BQ5" s="16" t="s">
        <v>221</v>
      </c>
      <c r="BR5" s="16">
        <v>3</v>
      </c>
      <c r="BS5" s="15" t="s">
        <v>217</v>
      </c>
      <c r="BT5" s="16">
        <v>4</v>
      </c>
      <c r="BU5" s="15" t="s">
        <v>171</v>
      </c>
      <c r="BV5" s="16">
        <v>5</v>
      </c>
      <c r="BW5" s="16" t="s">
        <v>253</v>
      </c>
      <c r="BX5" s="16">
        <v>5</v>
      </c>
      <c r="BY5" s="16" t="s">
        <v>236</v>
      </c>
      <c r="BZ5" s="16">
        <v>5</v>
      </c>
      <c r="CA5" s="16" t="s">
        <v>116</v>
      </c>
      <c r="CB5" s="16">
        <v>0</v>
      </c>
      <c r="CC5" s="16" t="s">
        <v>239</v>
      </c>
      <c r="CD5" s="16">
        <v>5</v>
      </c>
      <c r="CE5" s="15">
        <v>3</v>
      </c>
      <c r="CF5" s="15">
        <v>3</v>
      </c>
      <c r="CG5" s="16" t="s">
        <v>250</v>
      </c>
      <c r="CH5" s="15">
        <v>5</v>
      </c>
      <c r="CI5" s="16" t="s">
        <v>247</v>
      </c>
      <c r="CJ5" s="15">
        <v>5</v>
      </c>
    </row>
    <row r="6" spans="1:88" ht="18" customHeight="1" x14ac:dyDescent="0.3">
      <c r="A6" s="9"/>
      <c r="B6" s="337" t="str">
        <f>CONCATENATE(D8,AJ19,D9,AJ19,H8,AJ19,H9,AJ19,AA8,AJ19,AE9,AJ19,AE10,AJ19,N12,AJ19,O12,AJ19,N13,AJ19,O13,AJ19,N14,AJ19,O14,AJ19,N16,AJ19,N17,AJ19,N18,AJ19,N19,AJ19,N20,AJ19,N22,AJ19,N23,AJ19,N24,AJ19,N26,AJ19,O26,AJ19,N27,AJ19,O27,AJ19,N28,AJ19,O28,AJ19,N29,AJ19,O29,AJ19,N30,AJ19,O30,AJ19,N31,AJ19,O31,AJ19,N32,AJ19,O32,AJ19,N34,AJ19,B29,AJ19,F23)</f>
        <v xml:space="preserve"> ,  ,  ,  ,  , IVA 1328 ,  , 0 , 0 , 0 , 0 , 0 , 0 , 0 , 0 , 0 , 0 , 0 , 0 , 0 , 0 , 0 , 0 , 0 , 0 , 0 , 0 , 0 , 0 , 0 , 0 , 0 , 0 , 0 , 5 , 5 ,  , 0</v>
      </c>
      <c r="C6" s="337"/>
      <c r="D6" s="337"/>
      <c r="E6" s="337"/>
      <c r="F6" s="337"/>
      <c r="G6" s="337"/>
      <c r="H6" s="337"/>
      <c r="I6" s="337"/>
      <c r="J6" s="337"/>
      <c r="K6" s="337"/>
      <c r="L6" s="337"/>
      <c r="M6" s="337"/>
      <c r="N6" s="337"/>
      <c r="O6" s="337"/>
      <c r="P6" s="337"/>
      <c r="Q6" s="337"/>
      <c r="R6" s="337"/>
      <c r="S6" s="337"/>
      <c r="T6" s="337"/>
      <c r="U6" s="337"/>
      <c r="V6" s="337"/>
      <c r="W6" s="337"/>
      <c r="X6" s="337"/>
      <c r="Y6" s="337"/>
      <c r="Z6" s="337"/>
      <c r="AA6" s="337"/>
      <c r="AB6" s="9"/>
      <c r="AC6" s="9"/>
      <c r="AD6" s="9"/>
      <c r="AE6" s="9"/>
      <c r="AF6" s="9"/>
      <c r="AG6" s="9"/>
      <c r="AH6" s="9"/>
      <c r="AI6" s="9"/>
      <c r="AY6" s="15"/>
      <c r="AZ6" s="16"/>
      <c r="BA6" s="15" t="s">
        <v>186</v>
      </c>
      <c r="BB6" s="16">
        <v>4</v>
      </c>
      <c r="BC6" s="15"/>
      <c r="BD6" s="16"/>
      <c r="BE6" s="15"/>
      <c r="BF6" s="16"/>
      <c r="BG6" s="15" t="s">
        <v>186</v>
      </c>
      <c r="BH6" s="16">
        <v>4</v>
      </c>
      <c r="BI6" s="16" t="s">
        <v>227</v>
      </c>
      <c r="BJ6" s="16">
        <v>4</v>
      </c>
      <c r="BK6" s="15" t="s">
        <v>193</v>
      </c>
      <c r="BL6" s="16">
        <v>4</v>
      </c>
      <c r="BM6" s="16"/>
      <c r="BN6" s="104"/>
      <c r="BO6" s="16" t="s">
        <v>117</v>
      </c>
      <c r="BP6" s="16">
        <v>2</v>
      </c>
      <c r="BQ6" s="105" t="s">
        <v>222</v>
      </c>
      <c r="BR6" s="16">
        <v>4</v>
      </c>
      <c r="BS6" s="15" t="s">
        <v>218</v>
      </c>
      <c r="BT6" s="16">
        <v>5</v>
      </c>
      <c r="BU6" s="16" t="s">
        <v>116</v>
      </c>
      <c r="BV6" s="16">
        <v>0</v>
      </c>
      <c r="BW6" s="16" t="s">
        <v>116</v>
      </c>
      <c r="BX6" s="16">
        <v>0</v>
      </c>
      <c r="BY6" s="16" t="s">
        <v>116</v>
      </c>
      <c r="BZ6" s="16">
        <v>0</v>
      </c>
      <c r="CA6" s="15"/>
      <c r="CB6" s="16"/>
      <c r="CC6" s="16" t="s">
        <v>116</v>
      </c>
      <c r="CD6" s="16">
        <v>0</v>
      </c>
      <c r="CE6" s="15">
        <v>4</v>
      </c>
      <c r="CF6" s="15">
        <v>4</v>
      </c>
      <c r="CG6" s="16" t="s">
        <v>116</v>
      </c>
      <c r="CH6" s="15">
        <v>0</v>
      </c>
      <c r="CI6" s="16" t="s">
        <v>116</v>
      </c>
      <c r="CJ6" s="15">
        <v>0</v>
      </c>
    </row>
    <row r="7" spans="1:88" ht="32.1" customHeight="1" x14ac:dyDescent="0.3">
      <c r="A7" s="9"/>
      <c r="B7" s="338" t="s">
        <v>1</v>
      </c>
      <c r="C7" s="338"/>
      <c r="D7" s="338"/>
      <c r="E7" s="338"/>
      <c r="F7" s="338"/>
      <c r="G7" s="338"/>
      <c r="H7" s="338"/>
      <c r="I7" s="338"/>
      <c r="J7" s="338"/>
      <c r="K7" s="338"/>
      <c r="L7" s="338"/>
      <c r="M7" s="338"/>
      <c r="N7" s="338"/>
      <c r="O7" s="338"/>
      <c r="P7" s="338"/>
      <c r="Q7" s="338"/>
      <c r="R7" s="338"/>
      <c r="S7" s="338"/>
      <c r="T7" s="338"/>
      <c r="U7" s="338"/>
      <c r="V7" s="338"/>
      <c r="W7" s="338"/>
      <c r="X7" s="338"/>
      <c r="Y7" s="338"/>
      <c r="Z7" s="338"/>
      <c r="AA7" s="338"/>
      <c r="AB7" s="9"/>
      <c r="AC7" s="138" t="s">
        <v>2</v>
      </c>
      <c r="AD7" s="162"/>
      <c r="AE7" s="162"/>
      <c r="AF7" s="162"/>
      <c r="AG7" s="163"/>
      <c r="AH7" s="9"/>
      <c r="AI7" s="9"/>
      <c r="AJ7" s="19">
        <v>1</v>
      </c>
      <c r="AK7" s="19"/>
      <c r="AL7" s="19">
        <v>2</v>
      </c>
      <c r="AM7" s="19"/>
      <c r="AN7" s="19">
        <v>3</v>
      </c>
      <c r="AO7" s="19"/>
      <c r="AQ7" s="61">
        <v>337</v>
      </c>
      <c r="AR7" s="62">
        <v>169.3</v>
      </c>
      <c r="AS7" s="62">
        <v>337</v>
      </c>
      <c r="AT7" s="61" t="s">
        <v>266</v>
      </c>
      <c r="AU7" s="62">
        <v>164</v>
      </c>
      <c r="AV7" s="62">
        <v>580</v>
      </c>
      <c r="AZ7" s="16"/>
      <c r="BA7" s="15"/>
      <c r="BB7" s="16"/>
      <c r="BD7" s="16"/>
      <c r="BF7" s="16"/>
      <c r="BG7" s="15"/>
      <c r="BH7" s="16"/>
      <c r="BI7" s="12" t="s">
        <v>226</v>
      </c>
      <c r="BJ7" s="16">
        <v>5</v>
      </c>
      <c r="BK7" s="15" t="s">
        <v>194</v>
      </c>
      <c r="BL7" s="16">
        <v>5</v>
      </c>
      <c r="BM7" s="16"/>
      <c r="BN7" s="104"/>
      <c r="BO7" s="16" t="s">
        <v>119</v>
      </c>
      <c r="BP7" s="16">
        <v>15</v>
      </c>
      <c r="BQ7" s="105" t="s">
        <v>190</v>
      </c>
      <c r="BR7" s="16">
        <v>5</v>
      </c>
      <c r="BT7" s="16"/>
      <c r="BV7" s="16"/>
      <c r="BX7" s="16"/>
      <c r="BZ7" s="16"/>
      <c r="CB7" s="16"/>
      <c r="CD7" s="16"/>
      <c r="CE7" s="15">
        <v>5</v>
      </c>
      <c r="CF7" s="15">
        <v>5</v>
      </c>
      <c r="CH7" s="15"/>
      <c r="CJ7" s="15"/>
    </row>
    <row r="8" spans="1:88" ht="32.1" customHeight="1" x14ac:dyDescent="0.3">
      <c r="A8" s="9"/>
      <c r="B8" s="382" t="s">
        <v>5</v>
      </c>
      <c r="C8" s="382"/>
      <c r="D8" s="383"/>
      <c r="E8" s="383"/>
      <c r="F8" s="382" t="s">
        <v>13</v>
      </c>
      <c r="G8" s="382"/>
      <c r="H8" s="384"/>
      <c r="I8" s="384"/>
      <c r="J8" s="50"/>
      <c r="K8" s="23" t="s">
        <v>16</v>
      </c>
      <c r="L8" s="384"/>
      <c r="M8" s="384"/>
      <c r="N8" s="20"/>
      <c r="O8" s="20"/>
      <c r="P8" s="50"/>
      <c r="Q8" s="387" t="s">
        <v>414</v>
      </c>
      <c r="R8" s="388"/>
      <c r="S8" s="397"/>
      <c r="T8" s="397"/>
      <c r="U8" s="393"/>
      <c r="V8" s="394"/>
      <c r="W8" s="50"/>
      <c r="X8" s="21" t="s">
        <v>6</v>
      </c>
      <c r="Y8" s="20" t="s">
        <v>267</v>
      </c>
      <c r="Z8" s="21" t="s">
        <v>8</v>
      </c>
      <c r="AA8" s="7"/>
      <c r="AB8" s="9"/>
      <c r="AC8" s="22"/>
      <c r="AD8" s="22" t="s">
        <v>9</v>
      </c>
      <c r="AE8" s="22" t="s">
        <v>10</v>
      </c>
      <c r="AF8" s="22"/>
      <c r="AG8" s="22"/>
      <c r="AH8" s="9"/>
      <c r="AI8" s="9"/>
      <c r="AJ8" s="19" t="s">
        <v>11</v>
      </c>
      <c r="AK8" s="19" t="s">
        <v>12</v>
      </c>
      <c r="AL8" s="19" t="s">
        <v>11</v>
      </c>
      <c r="AM8" s="19" t="s">
        <v>12</v>
      </c>
      <c r="AN8" s="19" t="s">
        <v>11</v>
      </c>
      <c r="AO8" s="19" t="s">
        <v>12</v>
      </c>
      <c r="AQ8" s="63"/>
      <c r="AR8" s="62">
        <v>178.2</v>
      </c>
      <c r="AS8" s="62">
        <v>337</v>
      </c>
      <c r="AT8" s="63"/>
      <c r="AU8" s="62">
        <v>178.2</v>
      </c>
      <c r="AV8" s="62">
        <v>580</v>
      </c>
      <c r="BO8" s="16" t="s">
        <v>121</v>
      </c>
      <c r="BP8" s="16">
        <v>3</v>
      </c>
      <c r="CE8" s="16">
        <v>6</v>
      </c>
      <c r="CF8" s="16">
        <v>6</v>
      </c>
    </row>
    <row r="9" spans="1:88" ht="32.1" customHeight="1" x14ac:dyDescent="0.3">
      <c r="A9" s="9"/>
      <c r="B9" s="385" t="s">
        <v>928</v>
      </c>
      <c r="C9" s="385"/>
      <c r="D9" s="384"/>
      <c r="E9" s="384"/>
      <c r="F9" s="382" t="s">
        <v>14</v>
      </c>
      <c r="G9" s="382"/>
      <c r="H9" s="384"/>
      <c r="I9" s="384"/>
      <c r="J9" s="51"/>
      <c r="K9" s="23" t="s">
        <v>17</v>
      </c>
      <c r="L9" s="384"/>
      <c r="M9" s="384"/>
      <c r="N9" s="20"/>
      <c r="O9" s="20"/>
      <c r="P9" s="51"/>
      <c r="Q9" s="389"/>
      <c r="R9" s="390"/>
      <c r="S9" s="397"/>
      <c r="T9" s="397"/>
      <c r="U9" s="395"/>
      <c r="V9" s="396"/>
      <c r="W9" s="51"/>
      <c r="X9" s="24" t="s">
        <v>15</v>
      </c>
      <c r="Y9" s="386"/>
      <c r="Z9" s="386"/>
      <c r="AA9" s="386"/>
      <c r="AB9" s="9"/>
      <c r="AC9" s="22" t="str">
        <f>IF(B29=AU20,"Piloto Supervisor","Piloto Instructor")</f>
        <v>Piloto Instructor</v>
      </c>
      <c r="AD9" s="1" t="s">
        <v>955</v>
      </c>
      <c r="AE9" s="16" t="str">
        <f>IFERROR(VLOOKUP(AD9,AC31:AE38,3,FALSE),"¿?")</f>
        <v>IVA 1328</v>
      </c>
      <c r="AF9" s="141"/>
      <c r="AG9" s="141"/>
      <c r="AH9" s="9"/>
      <c r="AI9" s="9"/>
      <c r="AJ9" s="16">
        <v>169.3</v>
      </c>
      <c r="AK9" s="16">
        <v>337</v>
      </c>
      <c r="AL9" s="16">
        <v>169.3</v>
      </c>
      <c r="AM9" s="16">
        <v>337</v>
      </c>
      <c r="AN9" s="16">
        <v>169.3</v>
      </c>
      <c r="AO9" s="16">
        <v>337</v>
      </c>
      <c r="AQ9" s="64">
        <v>402</v>
      </c>
      <c r="AR9" s="62">
        <v>164</v>
      </c>
      <c r="AS9" s="62">
        <v>402</v>
      </c>
      <c r="AT9" s="61" t="s">
        <v>268</v>
      </c>
      <c r="AU9" s="62">
        <v>164</v>
      </c>
      <c r="AV9" s="62">
        <v>600</v>
      </c>
      <c r="BO9" s="16" t="s">
        <v>124</v>
      </c>
      <c r="BP9" s="16">
        <v>4</v>
      </c>
      <c r="CE9" s="16" t="s">
        <v>116</v>
      </c>
      <c r="CF9" s="16"/>
    </row>
    <row r="10" spans="1:88" ht="32.1" customHeight="1" x14ac:dyDescent="0.3">
      <c r="A10" s="9"/>
      <c r="B10" s="367" t="s">
        <v>19</v>
      </c>
      <c r="C10" s="367"/>
      <c r="D10" s="367"/>
      <c r="E10" s="367"/>
      <c r="F10" s="367"/>
      <c r="G10" s="367"/>
      <c r="H10" s="367"/>
      <c r="I10" s="367"/>
      <c r="J10" s="53"/>
      <c r="K10" s="338" t="s">
        <v>397</v>
      </c>
      <c r="L10" s="338"/>
      <c r="M10" s="338"/>
      <c r="N10" s="191"/>
      <c r="O10" s="192"/>
      <c r="P10" s="53"/>
      <c r="Q10" s="391"/>
      <c r="R10" s="392"/>
      <c r="S10" s="142"/>
      <c r="T10" s="142"/>
      <c r="U10" s="142"/>
      <c r="V10" s="142"/>
      <c r="W10" s="53"/>
      <c r="X10" s="65" t="s">
        <v>20</v>
      </c>
      <c r="Y10" s="66" t="s">
        <v>28</v>
      </c>
      <c r="Z10" s="66" t="s">
        <v>22</v>
      </c>
      <c r="AA10" s="65" t="s">
        <v>23</v>
      </c>
      <c r="AB10" s="9"/>
      <c r="AC10" s="22" t="str">
        <f>IF(B29=AU20,"Piloto al Mando","Piloto Alumno")</f>
        <v>Piloto Alumno</v>
      </c>
      <c r="AD10" s="1"/>
      <c r="AE10" s="1"/>
      <c r="AF10" s="141"/>
      <c r="AG10" s="141"/>
      <c r="AH10" s="9"/>
      <c r="AI10" s="9"/>
      <c r="AJ10" s="16">
        <v>169.3</v>
      </c>
      <c r="AK10" s="16">
        <v>580</v>
      </c>
      <c r="AL10" s="16">
        <v>169.3</v>
      </c>
      <c r="AM10" s="16">
        <v>600</v>
      </c>
      <c r="AN10" s="16">
        <v>169.3</v>
      </c>
      <c r="AO10" s="16">
        <v>620</v>
      </c>
      <c r="AQ10" s="67"/>
      <c r="AR10" s="62">
        <v>178.2</v>
      </c>
      <c r="AS10" s="62">
        <v>402</v>
      </c>
      <c r="AT10" s="63"/>
      <c r="AU10" s="62">
        <v>178.2</v>
      </c>
      <c r="AV10" s="62">
        <v>600</v>
      </c>
      <c r="AY10" s="13" t="s">
        <v>242</v>
      </c>
      <c r="BA10" s="12" t="s">
        <v>252</v>
      </c>
      <c r="BO10" s="16" t="s">
        <v>126</v>
      </c>
      <c r="BP10" s="16">
        <v>2</v>
      </c>
    </row>
    <row r="11" spans="1:88" ht="32.1" customHeight="1" x14ac:dyDescent="0.3">
      <c r="A11" s="9"/>
      <c r="B11" s="403" t="s">
        <v>24</v>
      </c>
      <c r="C11" s="404"/>
      <c r="D11" s="404"/>
      <c r="E11" s="405"/>
      <c r="F11" s="344" t="str">
        <f>IF(B29=AU20,"PILOTO AL MANDO","PILOTO ALUMNO")</f>
        <v>PILOTO ALUMNO</v>
      </c>
      <c r="G11" s="344"/>
      <c r="H11" s="344" t="str">
        <f>IF(B29=AU20,"P. SUPERVISOR / DE SEGURIDAD","PILOTO INSTRUCTOR")</f>
        <v>PILOTO INSTRUCTOR</v>
      </c>
      <c r="I11" s="344"/>
      <c r="J11" s="54"/>
      <c r="K11" s="25" t="s">
        <v>157</v>
      </c>
      <c r="L11" s="22" t="s">
        <v>13</v>
      </c>
      <c r="M11" s="22" t="s">
        <v>14</v>
      </c>
      <c r="N11" s="22"/>
      <c r="O11" s="22"/>
      <c r="P11" s="54"/>
      <c r="Q11" s="22" t="str">
        <f>IF(H8=0,"Origen",H8)</f>
        <v>Origen</v>
      </c>
      <c r="R11" s="22" t="str">
        <f>IF(H9=0,"Destino",H9)</f>
        <v>Destino</v>
      </c>
      <c r="S11" s="22" t="s">
        <v>13</v>
      </c>
      <c r="T11" s="22" t="s">
        <v>14</v>
      </c>
      <c r="U11" s="22"/>
      <c r="V11" s="22"/>
      <c r="W11" s="54"/>
      <c r="X11" s="27" t="s">
        <v>27</v>
      </c>
      <c r="Y11" s="68" t="e">
        <f>VLOOKUP(AA8,AC24:AG27,4,FALSE)</f>
        <v>#N/A</v>
      </c>
      <c r="Z11" s="69" t="e">
        <f>VLOOKUP(AA8,AC24:AG27,5,FALSE)</f>
        <v>#N/A</v>
      </c>
      <c r="AA11" s="30" t="e">
        <f>Y11*Z11</f>
        <v>#N/A</v>
      </c>
      <c r="AB11" s="9"/>
      <c r="AC11" s="9"/>
      <c r="AD11" s="9"/>
      <c r="AE11" s="9"/>
      <c r="AF11" s="9"/>
      <c r="AG11" s="9"/>
      <c r="AH11" s="9"/>
      <c r="AI11" s="9"/>
      <c r="AJ11" s="16">
        <v>178.2</v>
      </c>
      <c r="AK11" s="16">
        <v>580</v>
      </c>
      <c r="AL11" s="16">
        <v>178.2</v>
      </c>
      <c r="AM11" s="16">
        <v>600</v>
      </c>
      <c r="AN11" s="16">
        <v>178.2</v>
      </c>
      <c r="AO11" s="16">
        <v>620</v>
      </c>
      <c r="AQ11" s="61" t="s">
        <v>269</v>
      </c>
      <c r="AR11" s="62">
        <v>164</v>
      </c>
      <c r="AS11" s="62">
        <v>337</v>
      </c>
      <c r="AT11" s="61" t="s">
        <v>270</v>
      </c>
      <c r="AU11" s="62">
        <v>164</v>
      </c>
      <c r="AV11" s="62">
        <v>620</v>
      </c>
      <c r="AY11" s="13" t="s">
        <v>243</v>
      </c>
      <c r="BA11" s="12" t="s">
        <v>256</v>
      </c>
      <c r="BO11" s="296" t="s">
        <v>876</v>
      </c>
      <c r="BP11" s="16">
        <v>6</v>
      </c>
    </row>
    <row r="12" spans="1:88" ht="32.1" customHeight="1" x14ac:dyDescent="0.3">
      <c r="A12" s="9"/>
      <c r="B12" s="31" t="str">
        <f>IF(X22=4,AU20,AU21)</f>
        <v>✕</v>
      </c>
      <c r="C12" s="40" t="s">
        <v>30</v>
      </c>
      <c r="D12" s="2"/>
      <c r="E12" s="40" t="s">
        <v>31</v>
      </c>
      <c r="F12" s="2"/>
      <c r="G12" s="40" t="s">
        <v>32</v>
      </c>
      <c r="H12" s="2"/>
      <c r="I12" s="40" t="s">
        <v>32</v>
      </c>
      <c r="J12" s="54"/>
      <c r="K12" s="40" t="s">
        <v>257</v>
      </c>
      <c r="L12" s="16" t="str">
        <f>IFERROR(VLOOKUP(H8,AY23:BA55,2,FALSE),"¿?")</f>
        <v>¿?</v>
      </c>
      <c r="M12" s="16" t="str">
        <f>IFERROR(VLOOKUP(H9,AY23:BA55,2,FALSE),"¿?")</f>
        <v>¿?</v>
      </c>
      <c r="N12" s="106" t="str">
        <f>IFERROR(VLOOKUP(L12,AY3:AZ4,2,FALSE),"0")</f>
        <v>0</v>
      </c>
      <c r="O12" s="106" t="str">
        <f>IFERROR(VLOOKUP(M12,AY3:AZ4,2,FALSE),"0")</f>
        <v>0</v>
      </c>
      <c r="P12" s="54"/>
      <c r="Q12" s="106" t="s">
        <v>406</v>
      </c>
      <c r="R12" s="106" t="s">
        <v>406</v>
      </c>
      <c r="S12" s="145" t="e">
        <f>VLOOKUP($H$8,PREVAC!$Q$2:$X$38,2,FALSE)</f>
        <v>#N/A</v>
      </c>
      <c r="T12" s="145" t="e">
        <f>VLOOKUP($H$9,PREVAC!$Q$2:$X$38,2,FALSE)</f>
        <v>#N/A</v>
      </c>
      <c r="U12" s="145" t="e">
        <f>VLOOKUP(S12,PREVAC!$I$3:$J$27,2,FALSE)</f>
        <v>#N/A</v>
      </c>
      <c r="V12" s="145" t="e">
        <f>VLOOKUP(T12,PREVAC!$I$3:$J$27,2,FALSE)</f>
        <v>#N/A</v>
      </c>
      <c r="W12" s="54"/>
      <c r="X12" s="27" t="str">
        <f>IF(B29=AT25,"Piloto de Seguridad","Piloto Instructor")</f>
        <v>Piloto Instructor</v>
      </c>
      <c r="Y12" s="70">
        <f>AD13</f>
        <v>0</v>
      </c>
      <c r="Z12" s="30">
        <v>1.8</v>
      </c>
      <c r="AA12" s="30">
        <f t="shared" ref="AA12:AA15" si="0">(Y12*Z12)</f>
        <v>0</v>
      </c>
      <c r="AB12" s="9"/>
      <c r="AC12" s="146"/>
      <c r="AD12" s="22" t="s">
        <v>28</v>
      </c>
      <c r="AE12" s="35" t="s">
        <v>271</v>
      </c>
      <c r="AF12" s="35" t="s">
        <v>272</v>
      </c>
      <c r="AG12" s="146"/>
      <c r="AH12" s="9"/>
      <c r="AI12" s="9"/>
      <c r="AJ12" s="16">
        <v>178.2</v>
      </c>
      <c r="AK12" s="16">
        <v>337</v>
      </c>
      <c r="AL12" s="16">
        <v>178.2</v>
      </c>
      <c r="AM12" s="16">
        <v>337</v>
      </c>
      <c r="AN12" s="16">
        <v>178.2</v>
      </c>
      <c r="AO12" s="16">
        <v>337</v>
      </c>
      <c r="AQ12" s="63"/>
      <c r="AR12" s="62">
        <v>178.2</v>
      </c>
      <c r="AS12" s="62">
        <v>337</v>
      </c>
      <c r="AT12" s="63"/>
      <c r="AU12" s="62">
        <v>178.2</v>
      </c>
      <c r="AV12" s="62">
        <v>620</v>
      </c>
      <c r="AY12" s="13" t="s">
        <v>244</v>
      </c>
      <c r="BA12" s="12">
        <v>60</v>
      </c>
      <c r="BO12" s="296" t="s">
        <v>878</v>
      </c>
      <c r="BP12" s="16">
        <v>6</v>
      </c>
    </row>
    <row r="13" spans="1:88" ht="32.1" customHeight="1" x14ac:dyDescent="0.3">
      <c r="A13" s="9"/>
      <c r="B13" s="2"/>
      <c r="C13" s="40" t="s">
        <v>33</v>
      </c>
      <c r="D13" s="2"/>
      <c r="E13" s="40" t="s">
        <v>34</v>
      </c>
      <c r="F13" s="2"/>
      <c r="G13" s="40" t="s">
        <v>35</v>
      </c>
      <c r="H13" s="2"/>
      <c r="I13" s="40" t="s">
        <v>35</v>
      </c>
      <c r="J13" s="54"/>
      <c r="K13" s="40" t="s">
        <v>163</v>
      </c>
      <c r="L13" s="16" t="str">
        <f>IFERROR(VLOOKUP(H8,AY23:BA55,3,FALSE),"¿?")</f>
        <v>¿?</v>
      </c>
      <c r="M13" s="16" t="str">
        <f>IFERROR(VLOOKUP(H9,AY23:BA55,3,FALSE),"¿?")</f>
        <v>¿?</v>
      </c>
      <c r="N13" s="106" t="str">
        <f>IFERROR(VLOOKUP(L13,BA3:BB6,2,FALSE),"0")</f>
        <v>0</v>
      </c>
      <c r="O13" s="106" t="str">
        <f>IFERROR(VLOOKUP(M13,BA3:BB6,2,FALSE),"0")</f>
        <v>0</v>
      </c>
      <c r="P13" s="54"/>
      <c r="Q13" s="106" t="s">
        <v>407</v>
      </c>
      <c r="R13" s="106" t="s">
        <v>407</v>
      </c>
      <c r="S13" s="145" t="e">
        <f>VLOOKUP($H$8,PREVAC!$Q$2:$X$38,3,FALSE)</f>
        <v>#N/A</v>
      </c>
      <c r="T13" s="145" t="e">
        <f>VLOOKUP($H$9,PREVAC!$Q$2:$X$38,3,FALSE)</f>
        <v>#N/A</v>
      </c>
      <c r="U13" s="145" t="e">
        <f>VLOOKUP(S13,PREVAC!$I$3:$J$27,2,FALSE)</f>
        <v>#N/A</v>
      </c>
      <c r="V13" s="145" t="e">
        <f>VLOOKUP(T13,PREVAC!$I$3:$J$27,2,FALSE)</f>
        <v>#N/A</v>
      </c>
      <c r="W13" s="54"/>
      <c r="X13" s="27" t="str">
        <f>IF(B29=AU20,"Piloto","Alumno")</f>
        <v>Alumno</v>
      </c>
      <c r="Y13" s="70">
        <f>AD14</f>
        <v>0</v>
      </c>
      <c r="Z13" s="30">
        <v>1.8</v>
      </c>
      <c r="AA13" s="30">
        <f t="shared" si="0"/>
        <v>0</v>
      </c>
      <c r="AB13" s="9"/>
      <c r="AC13" s="27" t="str">
        <f>IF(B29=AU20,"Piloto de Seguridad","Piloto Instructor")</f>
        <v>Piloto Instructor</v>
      </c>
      <c r="AD13" s="1"/>
      <c r="AE13" s="319">
        <f>SUM(AD13:AD14)</f>
        <v>0</v>
      </c>
      <c r="AF13" s="319">
        <f>SUM(AE13:AE15)</f>
        <v>0</v>
      </c>
      <c r="AG13" s="141"/>
      <c r="AH13" s="9"/>
      <c r="AI13" s="9"/>
      <c r="AY13" s="13" t="s">
        <v>264</v>
      </c>
      <c r="BO13" s="296" t="s">
        <v>880</v>
      </c>
      <c r="BP13" s="16">
        <v>6</v>
      </c>
    </row>
    <row r="14" spans="1:88" ht="32.1" customHeight="1" x14ac:dyDescent="0.3">
      <c r="A14" s="9"/>
      <c r="B14" s="2"/>
      <c r="C14" s="40" t="s">
        <v>36</v>
      </c>
      <c r="D14" s="2"/>
      <c r="E14" s="40" t="s">
        <v>703</v>
      </c>
      <c r="F14" s="2"/>
      <c r="G14" s="40" t="s">
        <v>37</v>
      </c>
      <c r="H14" s="31" t="str">
        <f>IF(AND(H11="PILOTO INSTRUCTOR",AD9=AD31),AG31,IF(AND(H11="PILOTO INSTRUCTOR",AD9=AD32),AG32,IF(AND(H11="PILOTO INSTRUCTOR",AD9=AD33),AG33,IF(AND(H11="PILOTO INSTRUCTOR",AD9=AD34),AG34,IF(AND(H11="PILOTO INSTRUCTOR",AD9=AD35),AG35,IF(AND(H11="PILOTO INSTRUCTOR",AD9=AD36),AG36,IF(AND(H11="PILOTO INSTRUCTOR",AD9=AD37),AG37,"N/A")))))))</f>
        <v>N/A</v>
      </c>
      <c r="I14" s="40" t="s">
        <v>37</v>
      </c>
      <c r="J14" s="52"/>
      <c r="K14" s="40" t="s">
        <v>164</v>
      </c>
      <c r="L14" s="1"/>
      <c r="M14" s="1"/>
      <c r="N14" s="106" t="str">
        <f>IFERROR(VLOOKUP(L14,BC3:BD5,2,FALSE),"0")</f>
        <v>0</v>
      </c>
      <c r="O14" s="106" t="str">
        <f>IFERROR(VLOOKUP(M14,BC3:BD5,2,FALSE),"0")</f>
        <v>0</v>
      </c>
      <c r="P14" s="52"/>
      <c r="Q14" s="106" t="s">
        <v>408</v>
      </c>
      <c r="R14" s="106" t="s">
        <v>408</v>
      </c>
      <c r="S14" s="145" t="e">
        <f>VLOOKUP($H$8,PREVAC!$Q$2:$X$38,4,FALSE)</f>
        <v>#N/A</v>
      </c>
      <c r="T14" s="145" t="e">
        <f>VLOOKUP($H$9,PREVAC!$Q$2:$X$38,4,FALSE)</f>
        <v>#N/A</v>
      </c>
      <c r="U14" s="145" t="e">
        <f>VLOOKUP(S14,PREVAC!$I$3:$J$27,2,FALSE)</f>
        <v>#N/A</v>
      </c>
      <c r="V14" s="145" t="e">
        <f>VLOOKUP(T14,PREVAC!$I$3:$J$27,2,FALSE)</f>
        <v>#N/A</v>
      </c>
      <c r="W14" s="52"/>
      <c r="X14" s="27" t="s">
        <v>40</v>
      </c>
      <c r="Y14" s="70">
        <f>AF18</f>
        <v>0</v>
      </c>
      <c r="Z14" s="30">
        <v>1.53</v>
      </c>
      <c r="AA14" s="30">
        <f t="shared" si="0"/>
        <v>0</v>
      </c>
      <c r="AB14" s="9"/>
      <c r="AC14" s="27" t="str">
        <f>IF(B29=AU20,"Piloto al Mando","Piloto Alumno")</f>
        <v>Piloto Alumno</v>
      </c>
      <c r="AD14" s="1"/>
      <c r="AE14" s="321"/>
      <c r="AF14" s="320"/>
      <c r="AG14" s="141"/>
      <c r="AH14" s="9"/>
      <c r="AI14" s="9"/>
      <c r="AJ14" s="107" t="s">
        <v>39</v>
      </c>
      <c r="AK14" s="108"/>
      <c r="AL14" s="146"/>
      <c r="AM14" s="107" t="s">
        <v>273</v>
      </c>
      <c r="AN14" s="108"/>
      <c r="AO14" s="16">
        <f>COUNTIF(AM24:AN25,"SI")</f>
        <v>0</v>
      </c>
      <c r="AQ14" s="164" t="s">
        <v>86</v>
      </c>
      <c r="AR14" s="164" t="s">
        <v>91</v>
      </c>
      <c r="AT14" s="313" t="s">
        <v>274</v>
      </c>
      <c r="AU14" s="314"/>
      <c r="AV14" s="314"/>
      <c r="AW14" s="315"/>
      <c r="BO14" s="296" t="s">
        <v>881</v>
      </c>
      <c r="BP14" s="16">
        <v>6</v>
      </c>
    </row>
    <row r="15" spans="1:88" ht="32.1" customHeight="1" x14ac:dyDescent="0.3">
      <c r="A15" s="9"/>
      <c r="B15" s="367" t="s">
        <v>161</v>
      </c>
      <c r="C15" s="367"/>
      <c r="D15" s="367"/>
      <c r="E15" s="367"/>
      <c r="F15" s="367"/>
      <c r="G15" s="367"/>
      <c r="H15" s="367"/>
      <c r="I15" s="367"/>
      <c r="J15" s="53"/>
      <c r="K15" s="398" t="s">
        <v>158</v>
      </c>
      <c r="L15" s="399"/>
      <c r="M15" s="400"/>
      <c r="N15" s="25"/>
      <c r="O15" s="25"/>
      <c r="P15" s="53"/>
      <c r="Q15" s="106" t="s">
        <v>409</v>
      </c>
      <c r="R15" s="106" t="s">
        <v>409</v>
      </c>
      <c r="S15" s="145" t="e">
        <f>VLOOKUP($H$8,PREVAC!$Q$2:$X$38,5,FALSE)</f>
        <v>#N/A</v>
      </c>
      <c r="T15" s="145" t="e">
        <f>VLOOKUP($H$9,PREVAC!$Q$2:$X$38,5,FALSE)</f>
        <v>#N/A</v>
      </c>
      <c r="U15" s="145" t="e">
        <f>VLOOKUP(S15,PREVAC!$I$3:$J$27,2,FALSE)</f>
        <v>#N/A</v>
      </c>
      <c r="V15" s="145" t="e">
        <f>VLOOKUP(T15,PREVAC!$I$3:$J$27,2,FALSE)</f>
        <v>#N/A</v>
      </c>
      <c r="W15" s="53"/>
      <c r="X15" s="27" t="s">
        <v>275</v>
      </c>
      <c r="Y15" s="72">
        <f>AD15</f>
        <v>0</v>
      </c>
      <c r="Z15" s="30">
        <v>2.2000000000000002</v>
      </c>
      <c r="AA15" s="30">
        <f t="shared" si="0"/>
        <v>0</v>
      </c>
      <c r="AB15" s="9"/>
      <c r="AC15" s="27" t="s">
        <v>275</v>
      </c>
      <c r="AD15" s="1"/>
      <c r="AE15" s="158">
        <f>AD15</f>
        <v>0</v>
      </c>
      <c r="AF15" s="321"/>
      <c r="AG15" s="141"/>
      <c r="AH15" s="9"/>
      <c r="AI15" s="9"/>
      <c r="AJ15" s="146" t="s">
        <v>42</v>
      </c>
      <c r="AK15" s="146" t="s">
        <v>43</v>
      </c>
      <c r="AL15" s="146"/>
      <c r="AM15" s="146" t="s">
        <v>42</v>
      </c>
      <c r="AN15" s="146" t="s">
        <v>43</v>
      </c>
      <c r="AO15" s="116"/>
      <c r="AQ15" s="16" t="s">
        <v>98</v>
      </c>
      <c r="AR15" s="16">
        <v>1</v>
      </c>
      <c r="AT15" s="316"/>
      <c r="AU15" s="317"/>
      <c r="AV15" s="317"/>
      <c r="AW15" s="318"/>
      <c r="AY15" s="13" t="s">
        <v>263</v>
      </c>
      <c r="BO15" s="296" t="s">
        <v>882</v>
      </c>
      <c r="BP15" s="16">
        <v>6</v>
      </c>
    </row>
    <row r="16" spans="1:88" ht="32.1" customHeight="1" x14ac:dyDescent="0.3">
      <c r="A16" s="9"/>
      <c r="B16" s="382" t="s">
        <v>44</v>
      </c>
      <c r="C16" s="382"/>
      <c r="D16" s="344" t="s">
        <v>45</v>
      </c>
      <c r="E16" s="344"/>
      <c r="F16" s="344" t="s">
        <v>46</v>
      </c>
      <c r="G16" s="344"/>
      <c r="H16" s="344" t="s">
        <v>47</v>
      </c>
      <c r="I16" s="344"/>
      <c r="J16" s="54"/>
      <c r="K16" s="40" t="s">
        <v>258</v>
      </c>
      <c r="L16" s="340"/>
      <c r="M16" s="341"/>
      <c r="N16" s="342" t="str">
        <f>IFERROR(VLOOKUP(L16,BE3:BF5,2,FALSE),"0")</f>
        <v>0</v>
      </c>
      <c r="O16" s="343"/>
      <c r="P16" s="54"/>
      <c r="Q16" s="106" t="s">
        <v>410</v>
      </c>
      <c r="R16" s="106" t="s">
        <v>410</v>
      </c>
      <c r="S16" s="145" t="e">
        <f>VLOOKUP($H$8,PREVAC!$Q$2:$X$38,6,FALSE)</f>
        <v>#N/A</v>
      </c>
      <c r="T16" s="145" t="e">
        <f>VLOOKUP($H$9,PREVAC!$Q$2:$X$38,6,FALSE)</f>
        <v>#N/A</v>
      </c>
      <c r="U16" s="145" t="e">
        <f>VLOOKUP(S16,PREVAC!$I$3:$J$27,2,FALSE)</f>
        <v>#N/A</v>
      </c>
      <c r="V16" s="145" t="e">
        <f>VLOOKUP(T16,PREVAC!$I$3:$J$27,2,FALSE)</f>
        <v>#N/A</v>
      </c>
      <c r="W16" s="54"/>
      <c r="X16" s="73" t="s">
        <v>56</v>
      </c>
      <c r="Y16" s="74" t="e">
        <f>SUM(Y11:Y15)</f>
        <v>#N/A</v>
      </c>
      <c r="Z16" s="75"/>
      <c r="AA16" s="30" t="e">
        <f>SUM(AA11:AA15)</f>
        <v>#N/A</v>
      </c>
      <c r="AB16" s="9"/>
      <c r="AC16" s="35"/>
      <c r="AD16" s="35" t="s">
        <v>57</v>
      </c>
      <c r="AE16" s="22" t="s">
        <v>276</v>
      </c>
      <c r="AF16" s="22" t="s">
        <v>60</v>
      </c>
      <c r="AG16" s="22" t="s">
        <v>58</v>
      </c>
      <c r="AH16" s="22" t="s">
        <v>59</v>
      </c>
      <c r="AI16" s="193"/>
      <c r="AJ16" s="16" t="e">
        <f>AL16*100</f>
        <v>#N/A</v>
      </c>
      <c r="AK16" s="154" t="e">
        <f>Y16</f>
        <v>#N/A</v>
      </c>
      <c r="AL16" s="154" t="e">
        <f>Y20</f>
        <v>#N/A</v>
      </c>
      <c r="AM16" s="16" t="e">
        <f>IF(AL16&gt;1.693,"SI","NO")</f>
        <v>#N/A</v>
      </c>
      <c r="AN16" s="16" t="e">
        <f>IF(AK16&gt;402,"SI","NO")</f>
        <v>#N/A</v>
      </c>
      <c r="AO16" s="146" t="s">
        <v>49</v>
      </c>
      <c r="AQ16" s="16" t="s">
        <v>107</v>
      </c>
      <c r="AR16" s="16">
        <v>2</v>
      </c>
      <c r="AT16" s="313" t="s">
        <v>381</v>
      </c>
      <c r="AU16" s="314"/>
      <c r="AV16" s="314"/>
      <c r="AW16" s="315"/>
      <c r="AY16" s="13" t="s">
        <v>261</v>
      </c>
      <c r="BO16" s="296" t="s">
        <v>883</v>
      </c>
      <c r="BP16" s="16">
        <v>6</v>
      </c>
    </row>
    <row r="17" spans="1:68" ht="32.1" customHeight="1" x14ac:dyDescent="0.3">
      <c r="A17" s="9"/>
      <c r="B17" s="2"/>
      <c r="C17" s="40" t="s">
        <v>50</v>
      </c>
      <c r="D17" s="2"/>
      <c r="E17" s="40" t="s">
        <v>50</v>
      </c>
      <c r="F17" s="2"/>
      <c r="G17" s="194" t="s">
        <v>50</v>
      </c>
      <c r="H17" s="2"/>
      <c r="I17" s="194" t="s">
        <v>51</v>
      </c>
      <c r="J17" s="54"/>
      <c r="K17" s="40" t="s">
        <v>165</v>
      </c>
      <c r="L17" s="340"/>
      <c r="M17" s="341"/>
      <c r="N17" s="342" t="str">
        <f>IFERROR(VLOOKUP(L17,BG3:BH6,2,FALSE),"0")</f>
        <v>0</v>
      </c>
      <c r="O17" s="343"/>
      <c r="P17" s="54"/>
      <c r="Q17" s="106" t="s">
        <v>412</v>
      </c>
      <c r="R17" s="106" t="s">
        <v>412</v>
      </c>
      <c r="S17" s="145" t="e">
        <f>VLOOKUP($H$8,PREVAC!$Q$2:$X$38,7,FALSE)</f>
        <v>#N/A</v>
      </c>
      <c r="T17" s="145" t="e">
        <f>VLOOKUP($H$9,PREVAC!$Q$2:$X$38,7,FALSE)</f>
        <v>#N/A</v>
      </c>
      <c r="U17" s="145" t="e">
        <f>VLOOKUP(S17,PREVAC!$I$3:$J$27,2,FALSE)</f>
        <v>#N/A</v>
      </c>
      <c r="V17" s="145" t="e">
        <f>VLOOKUP(T17,PREVAC!$I$3:$J$27,2,FALSE)</f>
        <v>#N/A</v>
      </c>
      <c r="W17" s="54"/>
      <c r="X17" s="27" t="s">
        <v>63</v>
      </c>
      <c r="Y17" s="77">
        <f>AF17</f>
        <v>0</v>
      </c>
      <c r="Z17" s="30">
        <v>1.53</v>
      </c>
      <c r="AA17" s="30">
        <f>(Y17*Z17)</f>
        <v>0</v>
      </c>
      <c r="AB17" s="9"/>
      <c r="AC17" s="157" t="s">
        <v>64</v>
      </c>
      <c r="AD17" s="1"/>
      <c r="AE17" s="158">
        <f>AD17*0.3466666667</f>
        <v>0</v>
      </c>
      <c r="AF17" s="147">
        <f>(AE17*0.7254)</f>
        <v>0</v>
      </c>
      <c r="AG17" s="147">
        <f>AE17*0.26420079</f>
        <v>0</v>
      </c>
      <c r="AH17" s="147">
        <f>AG17*6</f>
        <v>0</v>
      </c>
      <c r="AI17" s="9"/>
      <c r="AJ17" s="16" t="e">
        <f>AL17*100</f>
        <v>#N/A</v>
      </c>
      <c r="AK17" s="195" t="e">
        <f>Y18</f>
        <v>#N/A</v>
      </c>
      <c r="AL17" s="154" t="e">
        <f>AA20</f>
        <v>#N/A</v>
      </c>
      <c r="AM17" s="16" t="e">
        <f>IF(AL17&gt;1.693,"SI","NO")</f>
        <v>#N/A</v>
      </c>
      <c r="AN17" s="16" t="e">
        <f>IF(AK17&gt;402,"SI","NO")</f>
        <v>#N/A</v>
      </c>
      <c r="AO17" s="146"/>
      <c r="AP17" s="78"/>
      <c r="AQ17" s="18" t="s">
        <v>115</v>
      </c>
      <c r="AR17" s="16">
        <v>3</v>
      </c>
      <c r="AT17" s="316"/>
      <c r="AU17" s="317"/>
      <c r="AV17" s="317"/>
      <c r="AW17" s="318"/>
      <c r="AY17" s="13" t="s">
        <v>262</v>
      </c>
      <c r="BO17" s="296" t="s">
        <v>884</v>
      </c>
      <c r="BP17" s="16">
        <v>5</v>
      </c>
    </row>
    <row r="18" spans="1:68" ht="32.1" customHeight="1" x14ac:dyDescent="0.3">
      <c r="A18" s="9"/>
      <c r="B18" s="2"/>
      <c r="C18" s="40" t="s">
        <v>54</v>
      </c>
      <c r="D18" s="2"/>
      <c r="E18" s="40" t="s">
        <v>54</v>
      </c>
      <c r="F18" s="2"/>
      <c r="G18" s="40" t="s">
        <v>54</v>
      </c>
      <c r="H18" s="2"/>
      <c r="I18" s="40" t="s">
        <v>55</v>
      </c>
      <c r="J18" s="55"/>
      <c r="K18" s="40" t="s">
        <v>294</v>
      </c>
      <c r="L18" s="340"/>
      <c r="M18" s="341"/>
      <c r="N18" s="342" t="str">
        <f>IFERROR(VLOOKUP(L18,BI3:BJ7,2,FALSE),"0")</f>
        <v>0</v>
      </c>
      <c r="O18" s="343"/>
      <c r="P18" s="55"/>
      <c r="Q18" s="106" t="s">
        <v>411</v>
      </c>
      <c r="R18" s="106" t="s">
        <v>411</v>
      </c>
      <c r="S18" s="145" t="e">
        <f>VLOOKUP($H$8,PREVAC!$Q$2:$X$38,8,FALSE)</f>
        <v>#N/A</v>
      </c>
      <c r="T18" s="145" t="e">
        <f>VLOOKUP($H$9,PREVAC!$Q$2:$X$38,8,FALSE)</f>
        <v>#N/A</v>
      </c>
      <c r="U18" s="145" t="e">
        <f>VLOOKUP(S18,PREVAC!$I$3:$J$27,2,FALSE)</f>
        <v>#N/A</v>
      </c>
      <c r="V18" s="145" t="e">
        <f>VLOOKUP(T18,PREVAC!$I$3:$J$27,2,FALSE)</f>
        <v>#N/A</v>
      </c>
      <c r="W18" s="55"/>
      <c r="X18" s="73" t="s">
        <v>67</v>
      </c>
      <c r="Y18" s="74" t="e">
        <f>+Y16-Y17</f>
        <v>#N/A</v>
      </c>
      <c r="Z18" s="75"/>
      <c r="AA18" s="30" t="e">
        <f>+AA16-AA17</f>
        <v>#N/A</v>
      </c>
      <c r="AB18" s="9"/>
      <c r="AC18" s="27" t="s">
        <v>68</v>
      </c>
      <c r="AD18" s="141"/>
      <c r="AE18" s="48"/>
      <c r="AF18" s="147">
        <f>(AE18*0.7254)</f>
        <v>0</v>
      </c>
      <c r="AG18" s="147">
        <f>AE18*0.26420079</f>
        <v>0</v>
      </c>
      <c r="AH18" s="147">
        <f>AG18*6</f>
        <v>0</v>
      </c>
      <c r="AI18" s="9"/>
      <c r="AQ18" s="16" t="s">
        <v>117</v>
      </c>
      <c r="AR18" s="16">
        <v>4</v>
      </c>
      <c r="AY18" s="13" t="s">
        <v>265</v>
      </c>
      <c r="BO18" s="296" t="s">
        <v>929</v>
      </c>
      <c r="BP18" s="16">
        <v>20</v>
      </c>
    </row>
    <row r="19" spans="1:68" ht="32.1" customHeight="1" x14ac:dyDescent="0.3">
      <c r="A19" s="9"/>
      <c r="B19" s="2"/>
      <c r="C19" s="40" t="str">
        <f>IF(D9="PS","NOTAM Impresos","NOTAM")</f>
        <v>NOTAM</v>
      </c>
      <c r="D19" s="2"/>
      <c r="E19" s="40" t="str">
        <f>IF(D9="PS","NOTAM Impresos","NOTAM")</f>
        <v>NOTAM</v>
      </c>
      <c r="F19" s="2"/>
      <c r="G19" s="40" t="str">
        <f>IF(D9="PS","NOTAM Impresos","NOTAM")</f>
        <v>NOTAM</v>
      </c>
      <c r="H19" s="2"/>
      <c r="I19" s="156" t="s">
        <v>62</v>
      </c>
      <c r="J19" s="54"/>
      <c r="K19" s="40" t="s">
        <v>223</v>
      </c>
      <c r="L19" s="342" t="str">
        <f>IF(AD17&lt;=BD23,BE23,IF(AD17&lt;=BD24,BE24,IF(AD17&lt;=BD25,BE25,IF(AD17&lt;=BD26,BE26,IF(AD17&lt;=BD27,BE27,IF(AD17&gt;BD28,BE28,"¿?"))))))</f>
        <v>¿?</v>
      </c>
      <c r="M19" s="343"/>
      <c r="N19" s="342" t="str">
        <f>IFERROR(VLOOKUP(L19,BK3:BL7,2,FALSE),"0")</f>
        <v>0</v>
      </c>
      <c r="O19" s="343"/>
      <c r="P19" s="54"/>
      <c r="Q19" s="311" t="s">
        <v>493</v>
      </c>
      <c r="R19" s="311" t="s">
        <v>493</v>
      </c>
      <c r="S19" s="311"/>
      <c r="T19" s="311"/>
      <c r="U19" s="369" t="e">
        <f>SUM(U12:U18)</f>
        <v>#N/A</v>
      </c>
      <c r="V19" s="369" t="e">
        <f>SUM(V12:V18)</f>
        <v>#N/A</v>
      </c>
      <c r="W19" s="54"/>
      <c r="X19" s="415" t="s">
        <v>71</v>
      </c>
      <c r="Y19" s="416"/>
      <c r="Z19" s="416"/>
      <c r="AA19" s="417"/>
      <c r="AB19" s="9"/>
      <c r="AC19" s="27" t="s">
        <v>277</v>
      </c>
      <c r="AD19" s="159">
        <f>AE18/0.3466666667</f>
        <v>0</v>
      </c>
      <c r="AE19" s="141"/>
      <c r="AF19" s="141"/>
      <c r="AG19" s="141"/>
      <c r="AH19" s="9"/>
      <c r="AI19" s="9"/>
      <c r="AJ19" s="16" t="s">
        <v>395</v>
      </c>
      <c r="AM19" s="107" t="s">
        <v>278</v>
      </c>
      <c r="AN19" s="108"/>
      <c r="AQ19" s="16" t="s">
        <v>119</v>
      </c>
      <c r="AR19" s="16">
        <v>5</v>
      </c>
      <c r="AT19" s="164" t="s">
        <v>87</v>
      </c>
      <c r="AU19" s="164" t="s">
        <v>88</v>
      </c>
      <c r="BO19" s="297" t="s">
        <v>885</v>
      </c>
      <c r="BP19" s="16">
        <v>3</v>
      </c>
    </row>
    <row r="20" spans="1:68" ht="32.1" customHeight="1" x14ac:dyDescent="0.3">
      <c r="A20" s="9"/>
      <c r="B20" s="2"/>
      <c r="C20" s="40" t="s">
        <v>66</v>
      </c>
      <c r="D20" s="2"/>
      <c r="E20" s="40" t="s">
        <v>66</v>
      </c>
      <c r="F20" s="2"/>
      <c r="G20" s="40" t="s">
        <v>66</v>
      </c>
      <c r="H20" s="2"/>
      <c r="I20" s="40" t="s">
        <v>66</v>
      </c>
      <c r="J20" s="52"/>
      <c r="K20" s="40" t="s">
        <v>932</v>
      </c>
      <c r="L20" s="340"/>
      <c r="M20" s="341"/>
      <c r="N20" s="342" t="str">
        <f>IFERROR(VLOOKUP(L20,BM3:BN4,2,FALSE),"0")</f>
        <v>0</v>
      </c>
      <c r="O20" s="343"/>
      <c r="P20" s="52"/>
      <c r="Q20" s="407"/>
      <c r="R20" s="407"/>
      <c r="S20" s="407"/>
      <c r="T20" s="407"/>
      <c r="U20" s="370"/>
      <c r="V20" s="370"/>
      <c r="W20" s="52"/>
      <c r="X20" s="39" t="s">
        <v>76</v>
      </c>
      <c r="Y20" s="79" t="e">
        <f>AA16/Y16</f>
        <v>#N/A</v>
      </c>
      <c r="Z20" s="80" t="s">
        <v>77</v>
      </c>
      <c r="AA20" s="79" t="e">
        <f>AA18/Y18</f>
        <v>#N/A</v>
      </c>
      <c r="AB20" s="9"/>
      <c r="AC20" s="27" t="s">
        <v>279</v>
      </c>
      <c r="AD20" s="196">
        <f>AD19/60</f>
        <v>0</v>
      </c>
      <c r="AE20" s="141"/>
      <c r="AF20" s="141"/>
      <c r="AG20" s="141"/>
      <c r="AH20" s="9"/>
      <c r="AI20" s="9"/>
      <c r="AM20" s="16" t="e">
        <f>IF(AL16&lt;1.782,"SI","NO")</f>
        <v>#N/A</v>
      </c>
      <c r="AN20" s="16" t="e">
        <f>IF(AK16&lt;620,"SI","NO")</f>
        <v>#N/A</v>
      </c>
      <c r="AO20" s="146" t="s">
        <v>49</v>
      </c>
      <c r="AQ20" s="16" t="s">
        <v>121</v>
      </c>
      <c r="AR20" s="16">
        <v>6</v>
      </c>
      <c r="AT20" s="166" t="s">
        <v>99</v>
      </c>
      <c r="AU20" s="167" t="s">
        <v>100</v>
      </c>
      <c r="BO20" s="297" t="s">
        <v>886</v>
      </c>
      <c r="BP20" s="16">
        <v>15</v>
      </c>
    </row>
    <row r="21" spans="1:68" ht="32.1" customHeight="1" x14ac:dyDescent="0.3">
      <c r="A21" s="9"/>
      <c r="B21" s="367" t="s">
        <v>69</v>
      </c>
      <c r="C21" s="367"/>
      <c r="D21" s="367"/>
      <c r="E21" s="367"/>
      <c r="F21" s="367" t="s">
        <v>70</v>
      </c>
      <c r="G21" s="367"/>
      <c r="H21" s="367"/>
      <c r="I21" s="367"/>
      <c r="J21" s="53"/>
      <c r="K21" s="398" t="s">
        <v>150</v>
      </c>
      <c r="L21" s="399"/>
      <c r="M21" s="400"/>
      <c r="N21" s="25"/>
      <c r="O21" s="25"/>
      <c r="P21" s="53"/>
      <c r="Q21" s="35" t="str">
        <f>IF(L8=0,"Alterno 1",L8)</f>
        <v>Alterno 1</v>
      </c>
      <c r="R21" s="35" t="str">
        <f>IF(L9=0,"Alterno 2",L9)</f>
        <v>Alterno 2</v>
      </c>
      <c r="S21" s="22" t="s">
        <v>16</v>
      </c>
      <c r="T21" s="22" t="s">
        <v>17</v>
      </c>
      <c r="U21" s="22"/>
      <c r="V21" s="22"/>
      <c r="W21" s="53"/>
      <c r="X21" s="418" t="s">
        <v>82</v>
      </c>
      <c r="Y21" s="418"/>
      <c r="Z21" s="418"/>
      <c r="AA21" s="418"/>
      <c r="AB21" s="9"/>
      <c r="AC21" s="9"/>
      <c r="AD21" s="9"/>
      <c r="AE21" s="9"/>
      <c r="AF21" s="9"/>
      <c r="AG21" s="9"/>
      <c r="AH21" s="9"/>
      <c r="AI21" s="9"/>
      <c r="AM21" s="16" t="e">
        <f>IF(AL17&lt;1.782,"SI","NO")</f>
        <v>#N/A</v>
      </c>
      <c r="AN21" s="16" t="e">
        <f>IF(AK17&lt;620,"SI","NO")</f>
        <v>#N/A</v>
      </c>
      <c r="AO21" s="146" t="s">
        <v>53</v>
      </c>
      <c r="AQ21" s="16" t="s">
        <v>124</v>
      </c>
      <c r="AR21" s="16">
        <v>7</v>
      </c>
      <c r="AT21" s="167" t="s">
        <v>108</v>
      </c>
      <c r="AU21" s="166" t="s">
        <v>101</v>
      </c>
      <c r="BO21" s="297" t="s">
        <v>888</v>
      </c>
      <c r="BP21" s="16">
        <v>3</v>
      </c>
    </row>
    <row r="22" spans="1:68" ht="32.1" customHeight="1" x14ac:dyDescent="0.3">
      <c r="A22" s="9"/>
      <c r="B22" s="344" t="s">
        <v>73</v>
      </c>
      <c r="C22" s="344"/>
      <c r="D22" s="344"/>
      <c r="E22" s="344"/>
      <c r="F22" s="344" t="s">
        <v>74</v>
      </c>
      <c r="G22" s="344"/>
      <c r="H22" s="344" t="s">
        <v>75</v>
      </c>
      <c r="I22" s="344"/>
      <c r="J22" s="54"/>
      <c r="K22" s="144" t="s">
        <v>935</v>
      </c>
      <c r="L22" s="401">
        <f>IFERROR(D9,"¿?")</f>
        <v>0</v>
      </c>
      <c r="M22" s="402"/>
      <c r="N22" s="342" t="str">
        <f>IFERROR(VLOOKUP(L22,BO3:BP62,2,FALSE),"0")</f>
        <v>0</v>
      </c>
      <c r="O22" s="343"/>
      <c r="P22" s="54"/>
      <c r="Q22" s="106" t="s">
        <v>406</v>
      </c>
      <c r="R22" s="106" t="s">
        <v>406</v>
      </c>
      <c r="S22" s="145" t="e">
        <f>VLOOKUP($L$8,PREVAC!$Q$2:$X$38,2,FALSE)</f>
        <v>#N/A</v>
      </c>
      <c r="T22" s="145" t="e">
        <f>VLOOKUP($L$9,PREVAC!$Q$2:$X$38,2,FALSE)</f>
        <v>#N/A</v>
      </c>
      <c r="U22" s="145" t="e">
        <f>VLOOKUP(S22,PREVAC!$I$3:$J$27,2,FALSE)</f>
        <v>#N/A</v>
      </c>
      <c r="V22" s="145" t="e">
        <f>VLOOKUP(T22,PREVAC!$I$3:$J$27,2,FALSE)</f>
        <v>#N/A</v>
      </c>
      <c r="W22" s="54"/>
      <c r="X22" s="351">
        <f>AO14</f>
        <v>0</v>
      </c>
      <c r="Y22" s="351"/>
      <c r="Z22" s="351"/>
      <c r="AA22" s="351"/>
      <c r="AB22" s="9"/>
      <c r="AC22" s="138" t="s">
        <v>85</v>
      </c>
      <c r="AD22" s="162"/>
      <c r="AE22" s="162"/>
      <c r="AF22" s="162"/>
      <c r="AG22" s="163"/>
      <c r="AH22" s="9"/>
      <c r="AI22" s="9"/>
      <c r="AQ22" s="16" t="s">
        <v>126</v>
      </c>
      <c r="AR22" s="16">
        <v>8</v>
      </c>
      <c r="AT22" s="169" t="s">
        <v>116</v>
      </c>
      <c r="AU22" s="169" t="s">
        <v>116</v>
      </c>
      <c r="AY22" s="164" t="s">
        <v>367</v>
      </c>
      <c r="AZ22" s="164" t="s">
        <v>366</v>
      </c>
      <c r="BA22" s="164" t="s">
        <v>371</v>
      </c>
      <c r="BC22" s="12"/>
      <c r="BD22" s="16"/>
      <c r="BE22" s="164" t="s">
        <v>166</v>
      </c>
      <c r="BG22" s="16" t="s">
        <v>379</v>
      </c>
      <c r="BO22" s="297" t="s">
        <v>889</v>
      </c>
      <c r="BP22" s="16">
        <v>10</v>
      </c>
    </row>
    <row r="23" spans="1:68" ht="32.1" customHeight="1" x14ac:dyDescent="0.3">
      <c r="A23" s="9"/>
      <c r="B23" s="2"/>
      <c r="C23" s="40" t="s">
        <v>79</v>
      </c>
      <c r="D23" s="6"/>
      <c r="E23" s="40" t="s">
        <v>931</v>
      </c>
      <c r="F23" s="49">
        <f>AG18</f>
        <v>0</v>
      </c>
      <c r="G23" s="40" t="s">
        <v>80</v>
      </c>
      <c r="H23" s="2"/>
      <c r="I23" s="40" t="str">
        <f>IF(B29=AU20,"Pre-vuelo Piloto al Mando","Pre-Vuelo Alumno")</f>
        <v>Pre-Vuelo Alumno</v>
      </c>
      <c r="J23" s="54"/>
      <c r="K23" s="144" t="s">
        <v>259</v>
      </c>
      <c r="L23" s="342" t="str">
        <f>IF(AD19&lt;=BD36,BE36,IF(AD19&lt;=BD35,BE35,IF(AD19&lt;=BD34,BE34,IF(AD19&lt;=BD33,BE33,IF(AD19&lt;=BD32,BE32,IF(AD19&gt;BD31,BE31,"¿?"))))))</f>
        <v>¿?</v>
      </c>
      <c r="M23" s="343"/>
      <c r="N23" s="342" t="str">
        <f>IFERROR(VLOOKUP(L23,BQ3:BR7,2,FALSE),"0")</f>
        <v>0</v>
      </c>
      <c r="O23" s="343"/>
      <c r="P23" s="54"/>
      <c r="Q23" s="106" t="s">
        <v>407</v>
      </c>
      <c r="R23" s="106" t="s">
        <v>407</v>
      </c>
      <c r="S23" s="145" t="e">
        <f>VLOOKUP($L$8,PREVAC!$Q$2:$X$38,3,FALSE)</f>
        <v>#N/A</v>
      </c>
      <c r="T23" s="145" t="e">
        <f>VLOOKUP($L$9,PREVAC!$Q$2:$X$38,3,FALSE)</f>
        <v>#N/A</v>
      </c>
      <c r="U23" s="145" t="e">
        <f>VLOOKUP(S23,PREVAC!$I$3:$J$27,2,FALSE)</f>
        <v>#N/A</v>
      </c>
      <c r="V23" s="145" t="e">
        <f>VLOOKUP(T23,PREVAC!$I$3:$J$27,2,FALSE)</f>
        <v>#N/A</v>
      </c>
      <c r="W23" s="54"/>
      <c r="X23" s="351"/>
      <c r="Y23" s="351"/>
      <c r="Z23" s="351"/>
      <c r="AA23" s="351"/>
      <c r="AB23" s="9"/>
      <c r="AC23" s="165" t="s">
        <v>94</v>
      </c>
      <c r="AD23" s="165" t="s">
        <v>95</v>
      </c>
      <c r="AE23" s="165" t="s">
        <v>96</v>
      </c>
      <c r="AF23" s="165" t="s">
        <v>28</v>
      </c>
      <c r="AG23" s="165" t="s">
        <v>280</v>
      </c>
      <c r="AH23" s="9"/>
      <c r="AI23" s="9"/>
      <c r="AM23" s="107" t="s">
        <v>281</v>
      </c>
      <c r="AN23" s="108"/>
      <c r="AQ23" s="16" t="s">
        <v>116</v>
      </c>
      <c r="AR23" s="16">
        <v>9</v>
      </c>
      <c r="AY23" s="174" t="s">
        <v>355</v>
      </c>
      <c r="AZ23" s="16" t="s">
        <v>181</v>
      </c>
      <c r="BA23" s="16" t="s">
        <v>186</v>
      </c>
      <c r="BB23" s="16" t="s">
        <v>813</v>
      </c>
      <c r="BC23" s="16" t="s">
        <v>428</v>
      </c>
      <c r="BD23" s="105">
        <v>1</v>
      </c>
      <c r="BE23" s="16" t="s">
        <v>380</v>
      </c>
      <c r="BG23" s="16">
        <v>60</v>
      </c>
      <c r="BI23" s="16">
        <v>0</v>
      </c>
      <c r="BO23" s="297" t="s">
        <v>890</v>
      </c>
      <c r="BP23" s="16">
        <v>3</v>
      </c>
    </row>
    <row r="24" spans="1:68" ht="32.1" customHeight="1" x14ac:dyDescent="0.3">
      <c r="A24" s="9"/>
      <c r="B24" s="2"/>
      <c r="C24" s="40" t="s">
        <v>83</v>
      </c>
      <c r="D24" s="6"/>
      <c r="E24" s="40" t="str">
        <f>IF(B29=AK26,"EFB - Asigando","EFB - Asigando")</f>
        <v>EFB - Asigando</v>
      </c>
      <c r="F24" s="2"/>
      <c r="G24" s="40" t="s">
        <v>84</v>
      </c>
      <c r="H24" s="2"/>
      <c r="I24" s="40" t="str">
        <f>IF(B29=AU20,"Pre-vuelo P. Seguridad","Pre-vuelo Instructor")</f>
        <v>Pre-vuelo Instructor</v>
      </c>
      <c r="J24" s="54"/>
      <c r="K24" s="144" t="s">
        <v>167</v>
      </c>
      <c r="L24" s="340"/>
      <c r="M24" s="341"/>
      <c r="N24" s="342" t="str">
        <f>IFERROR(VLOOKUP(L24,BS3:BT6,2,FALSE),"0")</f>
        <v>0</v>
      </c>
      <c r="O24" s="343"/>
      <c r="P24" s="54"/>
      <c r="Q24" s="106" t="s">
        <v>408</v>
      </c>
      <c r="R24" s="106" t="s">
        <v>408</v>
      </c>
      <c r="S24" s="145" t="e">
        <f>VLOOKUP($L$8,PREVAC!$Q$2:$X$38,4,FALSE)</f>
        <v>#N/A</v>
      </c>
      <c r="T24" s="145" t="e">
        <f>VLOOKUP($L$9,PREVAC!$Q$2:$X$38,4,FALSE)</f>
        <v>#N/A</v>
      </c>
      <c r="U24" s="145" t="e">
        <f>VLOOKUP(S24,PREVAC!$I$3:$J$27,2,FALSE)</f>
        <v>#N/A</v>
      </c>
      <c r="V24" s="145" t="e">
        <f>VLOOKUP(T24,PREVAC!$I$3:$J$27,2,FALSE)</f>
        <v>#N/A</v>
      </c>
      <c r="W24" s="54"/>
      <c r="X24" s="351"/>
      <c r="Y24" s="351"/>
      <c r="Z24" s="351"/>
      <c r="AA24" s="351"/>
      <c r="AB24" s="9"/>
      <c r="AC24" s="197" t="s">
        <v>282</v>
      </c>
      <c r="AD24" s="168">
        <v>253</v>
      </c>
      <c r="AE24" s="168" t="s">
        <v>283</v>
      </c>
      <c r="AF24" s="168">
        <v>408.33</v>
      </c>
      <c r="AG24" s="198">
        <v>1.69</v>
      </c>
      <c r="AH24" s="9"/>
      <c r="AI24" s="9"/>
      <c r="AM24" s="16" t="e">
        <f>IF(AM16=AM20,"SI","NO")</f>
        <v>#N/A</v>
      </c>
      <c r="AN24" s="16" t="e">
        <f>IF(AN16=AN20,"SI","NO")</f>
        <v>#N/A</v>
      </c>
      <c r="AO24" s="146" t="s">
        <v>49</v>
      </c>
      <c r="AR24" s="16">
        <v>10</v>
      </c>
      <c r="AT24" s="164" t="s">
        <v>89</v>
      </c>
      <c r="AU24" s="164" t="s">
        <v>90</v>
      </c>
      <c r="AY24" s="174" t="s">
        <v>348</v>
      </c>
      <c r="AZ24" s="16" t="s">
        <v>181</v>
      </c>
      <c r="BA24" s="16" t="s">
        <v>184</v>
      </c>
      <c r="BB24" s="16" t="s">
        <v>828</v>
      </c>
      <c r="BC24" s="16" t="s">
        <v>834</v>
      </c>
      <c r="BD24" s="105">
        <v>60</v>
      </c>
      <c r="BE24" s="15" t="s">
        <v>190</v>
      </c>
      <c r="BG24" s="16" t="s">
        <v>375</v>
      </c>
      <c r="BI24" s="16">
        <v>1</v>
      </c>
      <c r="BO24" s="297" t="s">
        <v>891</v>
      </c>
      <c r="BP24" s="16">
        <v>15</v>
      </c>
    </row>
    <row r="25" spans="1:68" ht="32.1" customHeight="1" x14ac:dyDescent="0.3">
      <c r="A25" s="9"/>
      <c r="B25" s="2"/>
      <c r="C25" s="40" t="s">
        <v>92</v>
      </c>
      <c r="D25" s="2"/>
      <c r="E25" s="40" t="s">
        <v>867</v>
      </c>
      <c r="F25" s="2"/>
      <c r="G25" s="40" t="s">
        <v>93</v>
      </c>
      <c r="H25" s="42"/>
      <c r="I25" s="43"/>
      <c r="J25" s="54"/>
      <c r="K25" s="302" t="s">
        <v>156</v>
      </c>
      <c r="L25" s="300" t="str">
        <f>IF(B29=AU20,"Piloto","Alumno")</f>
        <v>Alumno</v>
      </c>
      <c r="M25" s="301" t="str">
        <f>IF(B29=AU20,"P. Seguridad","P. Instructor")</f>
        <v>P. Instructor</v>
      </c>
      <c r="N25" s="22"/>
      <c r="O25" s="22"/>
      <c r="P25" s="54"/>
      <c r="Q25" s="106" t="s">
        <v>409</v>
      </c>
      <c r="R25" s="106" t="s">
        <v>409</v>
      </c>
      <c r="S25" s="145" t="e">
        <f>VLOOKUP($L$8,PREVAC!$Q$2:$X$38,5,FALSE)</f>
        <v>#N/A</v>
      </c>
      <c r="T25" s="145" t="e">
        <f>VLOOKUP($L$9,PREVAC!$Q$2:$X$38,5,FALSE)</f>
        <v>#N/A</v>
      </c>
      <c r="U25" s="145" t="e">
        <f>VLOOKUP(S25,PREVAC!$I$3:$J$27,2,FALSE)</f>
        <v>#N/A</v>
      </c>
      <c r="V25" s="145" t="e">
        <f>VLOOKUP(T25,PREVAC!$I$3:$J$27,2,FALSE)</f>
        <v>#N/A</v>
      </c>
      <c r="W25" s="54"/>
      <c r="X25" s="351"/>
      <c r="Y25" s="351"/>
      <c r="Z25" s="351"/>
      <c r="AA25" s="351"/>
      <c r="AB25" s="9"/>
      <c r="AC25" s="197" t="s">
        <v>284</v>
      </c>
      <c r="AD25" s="168">
        <v>282</v>
      </c>
      <c r="AE25" s="168" t="s">
        <v>285</v>
      </c>
      <c r="AF25" s="168">
        <v>409</v>
      </c>
      <c r="AG25" s="295">
        <v>1.6930000000000001</v>
      </c>
      <c r="AH25" s="9"/>
      <c r="AI25" s="9"/>
      <c r="AM25" s="16" t="e">
        <f>IF(AM17=AM21,"SI","NO")</f>
        <v>#N/A</v>
      </c>
      <c r="AN25" s="16" t="e">
        <f>IF(AN17=AN21,"SI","NO")</f>
        <v>#N/A</v>
      </c>
      <c r="AO25" s="146" t="s">
        <v>53</v>
      </c>
      <c r="AR25" s="16">
        <v>11</v>
      </c>
      <c r="AT25" s="167" t="s">
        <v>100</v>
      </c>
      <c r="AU25" s="166" t="s">
        <v>101</v>
      </c>
      <c r="AY25" s="174" t="s">
        <v>356</v>
      </c>
      <c r="AZ25" s="16" t="s">
        <v>181</v>
      </c>
      <c r="BA25" s="16" t="s">
        <v>183</v>
      </c>
      <c r="BB25" s="16" t="s">
        <v>813</v>
      </c>
      <c r="BC25" s="16" t="s">
        <v>831</v>
      </c>
      <c r="BD25" s="105">
        <v>105</v>
      </c>
      <c r="BE25" s="15" t="s">
        <v>191</v>
      </c>
      <c r="BG25" s="16" t="s">
        <v>372</v>
      </c>
      <c r="BI25" s="16">
        <v>2</v>
      </c>
      <c r="BO25" s="297" t="s">
        <v>892</v>
      </c>
      <c r="BP25" s="16">
        <v>15</v>
      </c>
    </row>
    <row r="26" spans="1:68" ht="32.1" customHeight="1" x14ac:dyDescent="0.3">
      <c r="A26" s="9"/>
      <c r="B26" s="2"/>
      <c r="C26" s="40" t="s">
        <v>102</v>
      </c>
      <c r="D26" s="2"/>
      <c r="E26" s="40" t="s">
        <v>291</v>
      </c>
      <c r="F26" s="2"/>
      <c r="G26" s="40" t="s">
        <v>103</v>
      </c>
      <c r="H26" s="345" t="s">
        <v>104</v>
      </c>
      <c r="I26" s="345"/>
      <c r="J26" s="54"/>
      <c r="K26" s="40" t="s">
        <v>260</v>
      </c>
      <c r="L26" s="1"/>
      <c r="M26" s="1"/>
      <c r="N26" s="106" t="str">
        <f>IFERROR(VLOOKUP(L26,BU3:BV6,2,FALSE),"0")</f>
        <v>0</v>
      </c>
      <c r="O26" s="106" t="str">
        <f>IFERROR(VLOOKUP(M26,BU3:BV6,2,FALSE),"0")</f>
        <v>0</v>
      </c>
      <c r="P26" s="54"/>
      <c r="Q26" s="106" t="s">
        <v>410</v>
      </c>
      <c r="R26" s="106" t="s">
        <v>410</v>
      </c>
      <c r="S26" s="145" t="e">
        <f>VLOOKUP($L$8,PREVAC!$Q$2:$X$38,6,FALSE)</f>
        <v>#N/A</v>
      </c>
      <c r="T26" s="145" t="e">
        <f>VLOOKUP($L$9,PREVAC!$Q$2:$X$38,6,FALSE)</f>
        <v>#N/A</v>
      </c>
      <c r="U26" s="145" t="e">
        <f>VLOOKUP(S26,PREVAC!$I$3:$J$27,2,FALSE)</f>
        <v>#N/A</v>
      </c>
      <c r="V26" s="145" t="e">
        <f>VLOOKUP(T26,PREVAC!$I$3:$J$27,2,FALSE)</f>
        <v>#N/A</v>
      </c>
      <c r="W26" s="54"/>
      <c r="X26" s="351"/>
      <c r="Y26" s="351"/>
      <c r="Z26" s="351"/>
      <c r="AA26" s="351"/>
      <c r="AB26" s="9"/>
      <c r="AC26" s="197" t="s">
        <v>286</v>
      </c>
      <c r="AD26" s="168">
        <v>289</v>
      </c>
      <c r="AE26" s="168" t="s">
        <v>287</v>
      </c>
      <c r="AF26" s="168">
        <v>411</v>
      </c>
      <c r="AG26" s="198">
        <v>1.679</v>
      </c>
      <c r="AH26" s="9"/>
      <c r="AI26" s="9"/>
      <c r="AR26" s="16">
        <v>12</v>
      </c>
      <c r="AT26" s="166" t="s">
        <v>101</v>
      </c>
      <c r="AU26" s="167" t="s">
        <v>100</v>
      </c>
      <c r="AY26" s="174" t="s">
        <v>344</v>
      </c>
      <c r="AZ26" s="16" t="s">
        <v>181</v>
      </c>
      <c r="BA26" s="16" t="s">
        <v>184</v>
      </c>
      <c r="BB26" s="16" t="s">
        <v>427</v>
      </c>
      <c r="BC26" s="16" t="s">
        <v>814</v>
      </c>
      <c r="BD26" s="105">
        <v>150</v>
      </c>
      <c r="BE26" s="15" t="s">
        <v>192</v>
      </c>
      <c r="BG26" s="16" t="s">
        <v>373</v>
      </c>
      <c r="BI26" s="16">
        <v>3</v>
      </c>
      <c r="BO26" s="297" t="s">
        <v>893</v>
      </c>
      <c r="BP26" s="16">
        <v>3</v>
      </c>
    </row>
    <row r="27" spans="1:68" ht="32.1" customHeight="1" x14ac:dyDescent="0.3">
      <c r="A27" s="9"/>
      <c r="B27" s="2"/>
      <c r="C27" s="40" t="s">
        <v>109</v>
      </c>
      <c r="D27" s="2"/>
      <c r="E27" s="40" t="s">
        <v>110</v>
      </c>
      <c r="F27" s="2"/>
      <c r="G27" s="40" t="s">
        <v>111</v>
      </c>
      <c r="H27" s="345" t="s">
        <v>112</v>
      </c>
      <c r="I27" s="345"/>
      <c r="J27" s="52"/>
      <c r="K27" s="40" t="s">
        <v>135</v>
      </c>
      <c r="L27" s="1"/>
      <c r="M27" s="1"/>
      <c r="N27" s="106" t="str">
        <f>IFERROR(VLOOKUP(L27,BW3:BX6,2,FALSE),"0")</f>
        <v>0</v>
      </c>
      <c r="O27" s="106" t="str">
        <f>IFERROR(VLOOKUP(M27,BW3:BX6,2,FALSE),"0")</f>
        <v>0</v>
      </c>
      <c r="P27" s="52"/>
      <c r="Q27" s="106" t="s">
        <v>412</v>
      </c>
      <c r="R27" s="106" t="s">
        <v>412</v>
      </c>
      <c r="S27" s="145" t="e">
        <f>VLOOKUP($L$8,PREVAC!$Q$2:$X$38,7,FALSE)</f>
        <v>#N/A</v>
      </c>
      <c r="T27" s="145" t="e">
        <f>VLOOKUP($L$9,PREVAC!$Q$2:$X$38,7,FALSE)</f>
        <v>#N/A</v>
      </c>
      <c r="U27" s="145" t="e">
        <f>VLOOKUP(S27,PREVAC!$I$3:$J$27,2,FALSE)</f>
        <v>#N/A</v>
      </c>
      <c r="V27" s="145" t="e">
        <f>VLOOKUP(T27,PREVAC!$I$3:$J$27,2,FALSE)</f>
        <v>#N/A</v>
      </c>
      <c r="W27" s="52"/>
      <c r="X27" s="351"/>
      <c r="Y27" s="351"/>
      <c r="Z27" s="351"/>
      <c r="AA27" s="351"/>
      <c r="AB27" s="9"/>
      <c r="AC27" s="197" t="s">
        <v>288</v>
      </c>
      <c r="AD27" s="168">
        <v>317</v>
      </c>
      <c r="AE27" s="168" t="s">
        <v>289</v>
      </c>
      <c r="AF27" s="168">
        <v>414.67</v>
      </c>
      <c r="AG27" s="198">
        <v>1.68</v>
      </c>
      <c r="AH27" s="9"/>
      <c r="AI27" s="9"/>
      <c r="AT27" s="16"/>
      <c r="AU27" s="16"/>
      <c r="AY27" s="174" t="s">
        <v>354</v>
      </c>
      <c r="AZ27" s="16" t="s">
        <v>181</v>
      </c>
      <c r="BA27" s="19" t="s">
        <v>186</v>
      </c>
      <c r="BB27" s="16" t="s">
        <v>835</v>
      </c>
      <c r="BC27" s="16" t="s">
        <v>815</v>
      </c>
      <c r="BD27" s="105">
        <v>195</v>
      </c>
      <c r="BE27" s="15" t="s">
        <v>193</v>
      </c>
      <c r="BG27" s="16" t="s">
        <v>374</v>
      </c>
      <c r="BI27" s="16">
        <v>4</v>
      </c>
      <c r="BO27" s="298" t="s">
        <v>894</v>
      </c>
      <c r="BP27" s="16">
        <v>3</v>
      </c>
    </row>
    <row r="28" spans="1:68" ht="32.1" customHeight="1" x14ac:dyDescent="0.3">
      <c r="A28" s="9"/>
      <c r="B28" s="364" t="s">
        <v>159</v>
      </c>
      <c r="C28" s="365"/>
      <c r="D28" s="365"/>
      <c r="E28" s="366"/>
      <c r="F28" s="364" t="s">
        <v>160</v>
      </c>
      <c r="G28" s="365"/>
      <c r="H28" s="365"/>
      <c r="I28" s="366"/>
      <c r="J28" s="54"/>
      <c r="K28" s="40" t="s">
        <v>233</v>
      </c>
      <c r="L28" s="1"/>
      <c r="M28" s="1"/>
      <c r="N28" s="106" t="str">
        <f>IFERROR(VLOOKUP(L28,BY3:BZ6,2,FALSE),"0")</f>
        <v>0</v>
      </c>
      <c r="O28" s="106" t="str">
        <f>IFERROR(VLOOKUP(M28,BY3:BZ6,2,FALSE),"0")</f>
        <v>0</v>
      </c>
      <c r="P28" s="54"/>
      <c r="Q28" s="106" t="s">
        <v>411</v>
      </c>
      <c r="R28" s="106" t="s">
        <v>411</v>
      </c>
      <c r="S28" s="145" t="e">
        <f>VLOOKUP($L$8,PREVAC!$Q$2:$X$38,8,FALSE)</f>
        <v>#N/A</v>
      </c>
      <c r="T28" s="145" t="e">
        <f>VLOOKUP($L$9,PREVAC!$Q$2:$X$38,8,FALSE)</f>
        <v>#N/A</v>
      </c>
      <c r="U28" s="145" t="e">
        <f>VLOOKUP(S28,PREVAC!$I$3:$J$27,2,FALSE)</f>
        <v>#N/A</v>
      </c>
      <c r="V28" s="145" t="e">
        <f>VLOOKUP(T28,PREVAC!$I$3:$J$27,2,FALSE)</f>
        <v>#N/A</v>
      </c>
      <c r="W28" s="54"/>
      <c r="X28" s="351"/>
      <c r="Y28" s="351"/>
      <c r="Z28" s="351"/>
      <c r="AA28" s="351"/>
      <c r="AB28" s="9"/>
      <c r="AC28" s="9"/>
      <c r="AD28" s="9"/>
      <c r="AE28" s="9"/>
      <c r="AF28" s="9"/>
      <c r="AG28" s="9"/>
      <c r="AH28" s="9"/>
      <c r="AI28" s="9"/>
      <c r="AY28" s="174" t="s">
        <v>357</v>
      </c>
      <c r="AZ28" s="16" t="s">
        <v>181</v>
      </c>
      <c r="BA28" s="16" t="s">
        <v>183</v>
      </c>
      <c r="BB28" s="16" t="s">
        <v>820</v>
      </c>
      <c r="BC28" s="16" t="s">
        <v>816</v>
      </c>
      <c r="BD28" s="105">
        <v>195</v>
      </c>
      <c r="BE28" s="15" t="s">
        <v>194</v>
      </c>
      <c r="BI28" s="16">
        <v>5</v>
      </c>
      <c r="BO28" s="298" t="s">
        <v>895</v>
      </c>
      <c r="BP28" s="16">
        <v>8</v>
      </c>
    </row>
    <row r="29" spans="1:68" ht="32.1" customHeight="1" x14ac:dyDescent="0.3">
      <c r="A29" s="9"/>
      <c r="B29" s="2"/>
      <c r="C29" s="170" t="s">
        <v>865</v>
      </c>
      <c r="D29" s="31" t="str">
        <f>IFERROR(VLOOKUP(B29,AT24:AU27,2,FALSE)," ")</f>
        <v xml:space="preserve"> </v>
      </c>
      <c r="E29" s="170" t="s">
        <v>866</v>
      </c>
      <c r="F29" s="2"/>
      <c r="G29" s="170" t="s">
        <v>122</v>
      </c>
      <c r="H29" s="2"/>
      <c r="I29" s="170" t="s">
        <v>123</v>
      </c>
      <c r="J29" s="53"/>
      <c r="K29" s="40" t="s">
        <v>255</v>
      </c>
      <c r="L29" s="1"/>
      <c r="M29" s="1"/>
      <c r="N29" s="106" t="str">
        <f>IFERROR(VLOOKUP(L29,CA3:CB5,2,FALSE),"0")</f>
        <v>0</v>
      </c>
      <c r="O29" s="106" t="str">
        <f>IFERROR(VLOOKUP(M29,CA3:CB5,2,FALSE),"0")</f>
        <v>0</v>
      </c>
      <c r="P29" s="53"/>
      <c r="Q29" s="311" t="s">
        <v>493</v>
      </c>
      <c r="R29" s="311" t="s">
        <v>493</v>
      </c>
      <c r="S29" s="311"/>
      <c r="T29" s="311"/>
      <c r="U29" s="369" t="e">
        <f>SUM(U22:U28)</f>
        <v>#N/A</v>
      </c>
      <c r="V29" s="369" t="e">
        <f>SUM(V22:V28)</f>
        <v>#N/A</v>
      </c>
      <c r="W29" s="53"/>
      <c r="X29" s="351"/>
      <c r="Y29" s="351"/>
      <c r="Z29" s="351"/>
      <c r="AA29" s="351"/>
      <c r="AB29" s="9"/>
      <c r="AC29" s="138" t="s">
        <v>118</v>
      </c>
      <c r="AD29" s="162"/>
      <c r="AE29" s="162"/>
      <c r="AF29" s="162"/>
      <c r="AG29" s="163"/>
      <c r="AH29" s="9"/>
      <c r="AI29" s="9"/>
      <c r="AJ29" s="313" t="s">
        <v>872</v>
      </c>
      <c r="AK29" s="314"/>
      <c r="AL29" s="314"/>
      <c r="AM29" s="315"/>
      <c r="AN29" s="12"/>
      <c r="AO29" s="313" t="s">
        <v>65</v>
      </c>
      <c r="AP29" s="314"/>
      <c r="AQ29" s="314"/>
      <c r="AR29" s="315"/>
      <c r="AY29" s="174" t="s">
        <v>352</v>
      </c>
      <c r="AZ29" s="16" t="s">
        <v>181</v>
      </c>
      <c r="BA29" s="16" t="s">
        <v>184</v>
      </c>
      <c r="BB29" s="16" t="s">
        <v>830</v>
      </c>
      <c r="BC29" s="16" t="s">
        <v>430</v>
      </c>
      <c r="BI29" s="16">
        <v>6</v>
      </c>
      <c r="BO29" s="298" t="s">
        <v>896</v>
      </c>
      <c r="BP29" s="16">
        <v>3</v>
      </c>
    </row>
    <row r="30" spans="1:68" ht="32.1" customHeight="1" x14ac:dyDescent="0.3">
      <c r="A30" s="9"/>
      <c r="B30" s="367" t="s">
        <v>127</v>
      </c>
      <c r="C30" s="367"/>
      <c r="D30" s="367"/>
      <c r="E30" s="367"/>
      <c r="F30" s="367"/>
      <c r="G30" s="367"/>
      <c r="H30" s="367"/>
      <c r="I30" s="367"/>
      <c r="J30" s="54"/>
      <c r="K30" s="40" t="s">
        <v>393</v>
      </c>
      <c r="L30" s="1"/>
      <c r="M30" s="1"/>
      <c r="N30" s="106" t="str">
        <f>IFERROR(VLOOKUP(L30,CC3:CD6,2,FALSE),"0")</f>
        <v>0</v>
      </c>
      <c r="O30" s="106" t="str">
        <f>IFERROR(VLOOKUP(M30,CC3:CD6,2,FALSE),"0")</f>
        <v>0</v>
      </c>
      <c r="P30" s="54"/>
      <c r="Q30" s="407"/>
      <c r="R30" s="407"/>
      <c r="S30" s="407"/>
      <c r="T30" s="407"/>
      <c r="U30" s="370"/>
      <c r="V30" s="370"/>
      <c r="W30" s="54"/>
      <c r="X30" s="351"/>
      <c r="Y30" s="351"/>
      <c r="Z30" s="351"/>
      <c r="AA30" s="351"/>
      <c r="AB30" s="9"/>
      <c r="AC30" s="171" t="s">
        <v>120</v>
      </c>
      <c r="AD30" s="171" t="s">
        <v>28</v>
      </c>
      <c r="AE30" s="171" t="s">
        <v>10</v>
      </c>
      <c r="AF30" s="303" t="s">
        <v>368</v>
      </c>
      <c r="AG30" s="300" t="s">
        <v>953</v>
      </c>
      <c r="AH30" s="9"/>
      <c r="AI30" s="9"/>
      <c r="AJ30" s="316"/>
      <c r="AK30" s="317"/>
      <c r="AL30" s="317"/>
      <c r="AM30" s="318"/>
      <c r="AN30" s="12"/>
      <c r="AO30" s="316"/>
      <c r="AP30" s="317"/>
      <c r="AQ30" s="317"/>
      <c r="AR30" s="318"/>
      <c r="AY30" s="174" t="s">
        <v>364</v>
      </c>
      <c r="AZ30" s="109" t="s">
        <v>182</v>
      </c>
      <c r="BA30" s="16" t="s">
        <v>183</v>
      </c>
      <c r="BB30" s="16" t="s">
        <v>413</v>
      </c>
      <c r="BC30" s="16" t="s">
        <v>828</v>
      </c>
      <c r="BD30" s="105" t="s">
        <v>379</v>
      </c>
      <c r="BE30" s="164" t="s">
        <v>152</v>
      </c>
      <c r="BG30" s="16" t="s">
        <v>379</v>
      </c>
      <c r="BI30" s="16">
        <v>7</v>
      </c>
      <c r="BO30" s="298" t="s">
        <v>897</v>
      </c>
      <c r="BP30" s="16">
        <v>3</v>
      </c>
    </row>
    <row r="31" spans="1:68" ht="32.1" customHeight="1" x14ac:dyDescent="0.3">
      <c r="A31" s="9"/>
      <c r="B31" s="313" t="s">
        <v>869</v>
      </c>
      <c r="C31" s="314"/>
      <c r="D31" s="314"/>
      <c r="E31" s="314"/>
      <c r="F31" s="314"/>
      <c r="G31" s="314"/>
      <c r="H31" s="314"/>
      <c r="I31" s="315"/>
      <c r="J31" s="54"/>
      <c r="K31" s="40" t="s">
        <v>394</v>
      </c>
      <c r="L31" s="1"/>
      <c r="M31" s="1"/>
      <c r="N31" s="106" t="str">
        <f>IFERROR(VLOOKUP(L31,CE3:CF9,2,FALSE),"0")</f>
        <v>0</v>
      </c>
      <c r="O31" s="106" t="str">
        <f>IFERROR(VLOOKUP(M31,CE3:CF9,2,FALSE),"0")</f>
        <v>0</v>
      </c>
      <c r="P31" s="54"/>
      <c r="Q31" s="356" t="s">
        <v>490</v>
      </c>
      <c r="R31" s="356"/>
      <c r="S31" s="408"/>
      <c r="T31" s="408"/>
      <c r="U31" s="347"/>
      <c r="V31" s="348"/>
      <c r="W31" s="54"/>
      <c r="X31" s="351"/>
      <c r="Y31" s="351"/>
      <c r="Z31" s="351"/>
      <c r="AA31" s="351"/>
      <c r="AB31" s="9"/>
      <c r="AC31" s="294" t="s">
        <v>949</v>
      </c>
      <c r="AD31" s="294">
        <v>72</v>
      </c>
      <c r="AE31" s="294" t="s">
        <v>950</v>
      </c>
      <c r="AF31" s="294" t="s">
        <v>99</v>
      </c>
      <c r="AG31" s="168" t="s">
        <v>247</v>
      </c>
      <c r="AH31" s="9"/>
      <c r="AI31" s="9"/>
      <c r="AJ31" s="313" t="s">
        <v>873</v>
      </c>
      <c r="AK31" s="314"/>
      <c r="AL31" s="314"/>
      <c r="AM31" s="315"/>
      <c r="AN31" s="12"/>
      <c r="AO31" s="313" t="s">
        <v>874</v>
      </c>
      <c r="AP31" s="314"/>
      <c r="AQ31" s="314"/>
      <c r="AR31" s="315"/>
      <c r="AT31" s="313" t="s">
        <v>382</v>
      </c>
      <c r="AU31" s="314"/>
      <c r="AV31" s="314"/>
      <c r="AW31" s="315"/>
      <c r="AY31" s="174" t="s">
        <v>342</v>
      </c>
      <c r="AZ31" s="16" t="s">
        <v>182</v>
      </c>
      <c r="BA31" s="16" t="s">
        <v>186</v>
      </c>
      <c r="BB31" s="16" t="s">
        <v>413</v>
      </c>
      <c r="BC31" s="16" t="s">
        <v>813</v>
      </c>
      <c r="BD31" s="105">
        <v>241</v>
      </c>
      <c r="BE31" s="16" t="s">
        <v>219</v>
      </c>
      <c r="BG31" s="16">
        <v>241</v>
      </c>
      <c r="BI31" s="16">
        <v>8</v>
      </c>
      <c r="BO31" s="298" t="s">
        <v>898</v>
      </c>
      <c r="BP31" s="16">
        <v>8</v>
      </c>
    </row>
    <row r="32" spans="1:68" ht="32.1" customHeight="1" x14ac:dyDescent="0.3">
      <c r="A32" s="9"/>
      <c r="B32" s="316"/>
      <c r="C32" s="317"/>
      <c r="D32" s="317"/>
      <c r="E32" s="317"/>
      <c r="F32" s="317"/>
      <c r="G32" s="317"/>
      <c r="H32" s="317"/>
      <c r="I32" s="318"/>
      <c r="J32" s="52"/>
      <c r="K32" s="40" t="s">
        <v>251</v>
      </c>
      <c r="L32" s="1"/>
      <c r="M32" s="16" t="str">
        <f>IF(AND(M25="P. Instructor",AD9=AC31),AG31,IF(AND(M25="P. Instructor",AD9=AC32),AG32,IF(AND(M25="P. Instructor",AD9=AC33),AG33,IF(AND(M25="P. Instructor",AD9=AC34),AG34,IF(AND(M25="P. Instructor",AD9=AC35),AG35,IF(AND(M25="P. Instructor",AD9=AC36),AG36,IF(AND(M25="P. Instructor",AD9=AC37),AG37,"N/A")))))))</f>
        <v>&lt; 500 hrs</v>
      </c>
      <c r="N32" s="106" t="str">
        <f>IFERROR(VLOOKUP(L32,CG3:CH5,2,FALSE),"0")</f>
        <v>0</v>
      </c>
      <c r="O32" s="106">
        <f>IFERROR(VLOOKUP(M32,CI3:CJ6,2,FALSE),"0")</f>
        <v>5</v>
      </c>
      <c r="P32" s="52"/>
      <c r="Q32" s="356"/>
      <c r="R32" s="356"/>
      <c r="S32" s="408"/>
      <c r="T32" s="408"/>
      <c r="U32" s="349"/>
      <c r="V32" s="350"/>
      <c r="W32" s="52"/>
      <c r="X32" s="351"/>
      <c r="Y32" s="351"/>
      <c r="Z32" s="351"/>
      <c r="AA32" s="351"/>
      <c r="AB32" s="9"/>
      <c r="AC32" s="168" t="s">
        <v>956</v>
      </c>
      <c r="AD32" s="168">
        <v>72</v>
      </c>
      <c r="AE32" s="173" t="s">
        <v>957</v>
      </c>
      <c r="AF32" s="106" t="s">
        <v>108</v>
      </c>
      <c r="AG32" s="168" t="s">
        <v>247</v>
      </c>
      <c r="AH32" s="9"/>
      <c r="AI32" s="9"/>
      <c r="AJ32" s="316"/>
      <c r="AK32" s="317"/>
      <c r="AL32" s="317"/>
      <c r="AM32" s="318"/>
      <c r="AN32" s="41"/>
      <c r="AO32" s="316"/>
      <c r="AP32" s="317"/>
      <c r="AQ32" s="317"/>
      <c r="AR32" s="318"/>
      <c r="AT32" s="316"/>
      <c r="AU32" s="317"/>
      <c r="AV32" s="317"/>
      <c r="AW32" s="318"/>
      <c r="AY32" s="174" t="s">
        <v>343</v>
      </c>
      <c r="AZ32" s="16" t="s">
        <v>181</v>
      </c>
      <c r="BA32" s="16" t="s">
        <v>186</v>
      </c>
      <c r="BB32" s="16" t="s">
        <v>413</v>
      </c>
      <c r="BC32" s="16" t="s">
        <v>831</v>
      </c>
      <c r="BD32" s="105">
        <v>241</v>
      </c>
      <c r="BE32" s="16" t="s">
        <v>220</v>
      </c>
      <c r="BG32" s="16" t="s">
        <v>378</v>
      </c>
      <c r="BI32" s="16">
        <v>9</v>
      </c>
      <c r="BO32" s="298" t="s">
        <v>899</v>
      </c>
      <c r="BP32" s="16">
        <v>4</v>
      </c>
    </row>
    <row r="33" spans="1:68" ht="32.1" customHeight="1" x14ac:dyDescent="0.3">
      <c r="A33" s="9"/>
      <c r="B33" s="379" t="str">
        <f>IF(B29=AT25,"Firma Piloto Supervisor","Firma Piloto Instructor")</f>
        <v>Firma Piloto Instructor</v>
      </c>
      <c r="C33" s="380"/>
      <c r="D33" s="380"/>
      <c r="E33" s="381"/>
      <c r="F33" s="379" t="s">
        <v>130</v>
      </c>
      <c r="G33" s="380"/>
      <c r="H33" s="380"/>
      <c r="I33" s="381"/>
      <c r="J33" s="56"/>
      <c r="K33" s="346" t="s">
        <v>396</v>
      </c>
      <c r="L33" s="346"/>
      <c r="M33" s="346"/>
      <c r="N33" s="359"/>
      <c r="O33" s="360"/>
      <c r="P33" s="56"/>
      <c r="Q33" s="362"/>
      <c r="R33" s="363"/>
      <c r="S33" s="362"/>
      <c r="T33" s="363"/>
      <c r="U33" s="362"/>
      <c r="V33" s="363"/>
      <c r="W33" s="56"/>
      <c r="X33" s="351"/>
      <c r="Y33" s="351"/>
      <c r="Z33" s="351"/>
      <c r="AA33" s="351"/>
      <c r="AB33" s="9"/>
      <c r="AC33" s="168" t="s">
        <v>128</v>
      </c>
      <c r="AD33" s="168">
        <v>89</v>
      </c>
      <c r="AE33" s="173" t="s">
        <v>129</v>
      </c>
      <c r="AF33" s="106" t="s">
        <v>99</v>
      </c>
      <c r="AG33" s="168" t="s">
        <v>247</v>
      </c>
      <c r="AH33" s="9"/>
      <c r="AI33" s="9"/>
      <c r="AY33" s="104" t="s">
        <v>385</v>
      </c>
      <c r="AZ33" s="16" t="s">
        <v>182</v>
      </c>
      <c r="BA33" s="16" t="s">
        <v>183</v>
      </c>
      <c r="BB33" s="16" t="s">
        <v>430</v>
      </c>
      <c r="BC33" s="16" t="s">
        <v>429</v>
      </c>
      <c r="BD33" s="105">
        <v>181</v>
      </c>
      <c r="BE33" s="16" t="s">
        <v>221</v>
      </c>
      <c r="BG33" s="16" t="s">
        <v>377</v>
      </c>
      <c r="BI33" s="16">
        <v>10</v>
      </c>
      <c r="BO33" s="298" t="s">
        <v>900</v>
      </c>
      <c r="BP33" s="16">
        <v>3</v>
      </c>
    </row>
    <row r="34" spans="1:68" ht="32.1" customHeight="1" x14ac:dyDescent="0.3">
      <c r="A34" s="9"/>
      <c r="B34" s="313" t="s">
        <v>870</v>
      </c>
      <c r="C34" s="314"/>
      <c r="D34" s="314"/>
      <c r="E34" s="315"/>
      <c r="F34" s="313" t="s">
        <v>871</v>
      </c>
      <c r="G34" s="314"/>
      <c r="H34" s="314"/>
      <c r="I34" s="315"/>
      <c r="J34" s="56"/>
      <c r="K34" s="369" t="s">
        <v>241</v>
      </c>
      <c r="L34" s="371" t="str">
        <f>IF(N34&lt;=1,"CALCULAR FRAT",IF(N34&lt;=40,"ACEPTABLE",IF(N34&lt;=60,"MEDIO",IF(N34&gt;60,"ALTO"))))</f>
        <v>ACEPTABLE</v>
      </c>
      <c r="M34" s="372"/>
      <c r="N34" s="361">
        <f>IFERROR(N12+O12+N13+O13+N14+O14+N16+N17+N18+N19+N20+N22+N23+N24+N26+O26+N27+O27+N28+O28+N29+O29+N30+O30+N31+O31+N32+O32,"0")</f>
        <v>5</v>
      </c>
      <c r="O34" s="361"/>
      <c r="P34" s="56"/>
      <c r="Q34" s="313" t="s">
        <v>491</v>
      </c>
      <c r="R34" s="315"/>
      <c r="S34" s="313"/>
      <c r="T34" s="315"/>
      <c r="U34" s="313"/>
      <c r="V34" s="315"/>
      <c r="W34" s="56"/>
      <c r="X34" s="351"/>
      <c r="Y34" s="351"/>
      <c r="Z34" s="351"/>
      <c r="AA34" s="351"/>
      <c r="AB34" s="9"/>
      <c r="AC34" s="168" t="s">
        <v>849</v>
      </c>
      <c r="AD34" s="168">
        <v>76</v>
      </c>
      <c r="AE34" s="168" t="s">
        <v>850</v>
      </c>
      <c r="AF34" s="168" t="s">
        <v>108</v>
      </c>
      <c r="AG34" s="168" t="s">
        <v>246</v>
      </c>
      <c r="AH34" s="9"/>
      <c r="AI34" s="9"/>
      <c r="AY34" s="174" t="s">
        <v>346</v>
      </c>
      <c r="AZ34" s="16" t="s">
        <v>181</v>
      </c>
      <c r="BA34" s="16" t="s">
        <v>186</v>
      </c>
      <c r="BB34" s="16" t="s">
        <v>430</v>
      </c>
      <c r="BC34" s="16" t="s">
        <v>828</v>
      </c>
      <c r="BD34" s="105">
        <v>121</v>
      </c>
      <c r="BE34" s="16" t="s">
        <v>222</v>
      </c>
      <c r="BG34" s="16" t="s">
        <v>376</v>
      </c>
      <c r="BI34" s="16">
        <v>11</v>
      </c>
      <c r="BO34" s="298" t="s">
        <v>901</v>
      </c>
      <c r="BP34" s="16">
        <v>8</v>
      </c>
    </row>
    <row r="35" spans="1:68" ht="32.1" customHeight="1" x14ac:dyDescent="0.3">
      <c r="A35" s="9"/>
      <c r="B35" s="316"/>
      <c r="C35" s="317"/>
      <c r="D35" s="317"/>
      <c r="E35" s="318"/>
      <c r="F35" s="316"/>
      <c r="G35" s="317"/>
      <c r="H35" s="317"/>
      <c r="I35" s="318"/>
      <c r="J35" s="52"/>
      <c r="K35" s="370"/>
      <c r="L35" s="373"/>
      <c r="M35" s="374"/>
      <c r="N35" s="361"/>
      <c r="O35" s="361"/>
      <c r="P35" s="52"/>
      <c r="Q35" s="316"/>
      <c r="R35" s="318"/>
      <c r="S35" s="316"/>
      <c r="T35" s="318"/>
      <c r="U35" s="316"/>
      <c r="V35" s="318"/>
      <c r="W35" s="52"/>
      <c r="X35" s="351"/>
      <c r="Y35" s="351"/>
      <c r="Z35" s="351"/>
      <c r="AA35" s="351"/>
      <c r="AB35" s="9"/>
      <c r="AC35" s="168" t="s">
        <v>945</v>
      </c>
      <c r="AD35" s="168">
        <v>75</v>
      </c>
      <c r="AE35" s="168" t="s">
        <v>946</v>
      </c>
      <c r="AF35" s="168" t="s">
        <v>108</v>
      </c>
      <c r="AG35" s="168" t="s">
        <v>246</v>
      </c>
      <c r="AH35" s="9"/>
      <c r="AI35" s="9"/>
      <c r="AY35" s="174" t="s">
        <v>345</v>
      </c>
      <c r="AZ35" s="16" t="s">
        <v>181</v>
      </c>
      <c r="BA35" s="16" t="s">
        <v>183</v>
      </c>
      <c r="BB35" s="16" t="s">
        <v>430</v>
      </c>
      <c r="BC35" s="16" t="s">
        <v>835</v>
      </c>
      <c r="BD35" s="105">
        <v>60</v>
      </c>
      <c r="BE35" s="16" t="s">
        <v>190</v>
      </c>
      <c r="BG35" s="16">
        <v>60</v>
      </c>
      <c r="BI35" s="16">
        <v>12</v>
      </c>
      <c r="BO35" s="298" t="s">
        <v>902</v>
      </c>
      <c r="BP35" s="16">
        <v>3</v>
      </c>
    </row>
    <row r="36" spans="1:68" ht="32.1" customHeight="1" x14ac:dyDescent="0.3">
      <c r="A36" s="9"/>
      <c r="B36" s="313" t="str">
        <f>IF(B29=AU20,AJ29," ---- // ---- ")</f>
        <v xml:space="preserve"> ---- // ---- </v>
      </c>
      <c r="C36" s="314"/>
      <c r="D36" s="314"/>
      <c r="E36" s="315"/>
      <c r="F36" s="313" t="str">
        <f>IF(B29=AU20,AJ31," ---- // ---- ")</f>
        <v xml:space="preserve"> ---- // ---- </v>
      </c>
      <c r="G36" s="314"/>
      <c r="H36" s="314"/>
      <c r="I36" s="315"/>
      <c r="J36" s="56"/>
      <c r="K36" s="313" t="str" cm="1">
        <f t="array" ref="K36">_xlfn.IFS(L34=AY13,AY18,L34=AY10,AY15,L34=AY11,AY16,L34=AY12,AY17)</f>
        <v>El nivel de riesgo según el análisis se encuentra en nivel ACEPTABLE.</v>
      </c>
      <c r="L36" s="314"/>
      <c r="M36" s="315"/>
      <c r="N36" s="347"/>
      <c r="O36" s="348"/>
      <c r="P36" s="56"/>
      <c r="Q36" s="409" t="s">
        <v>477</v>
      </c>
      <c r="R36" s="410"/>
      <c r="S36" s="347"/>
      <c r="T36" s="348"/>
      <c r="U36" s="347"/>
      <c r="V36" s="348"/>
      <c r="W36" s="56"/>
      <c r="X36" s="351"/>
      <c r="Y36" s="351"/>
      <c r="Z36" s="351"/>
      <c r="AA36" s="351"/>
      <c r="AB36" s="9"/>
      <c r="AC36" s="294" t="s">
        <v>951</v>
      </c>
      <c r="AD36" s="294">
        <v>75</v>
      </c>
      <c r="AE36" s="294" t="s">
        <v>952</v>
      </c>
      <c r="AF36" s="294" t="s">
        <v>108</v>
      </c>
      <c r="AG36" s="168" t="s">
        <v>247</v>
      </c>
      <c r="AH36" s="9"/>
      <c r="AI36" s="9"/>
      <c r="AY36" s="104" t="s">
        <v>391</v>
      </c>
      <c r="AZ36" s="16" t="s">
        <v>182</v>
      </c>
      <c r="BA36" s="16" t="s">
        <v>183</v>
      </c>
      <c r="BB36" s="16" t="s">
        <v>430</v>
      </c>
      <c r="BC36" s="16" t="s">
        <v>831</v>
      </c>
      <c r="BD36" s="105">
        <v>1</v>
      </c>
      <c r="BE36" s="16" t="s">
        <v>380</v>
      </c>
      <c r="BI36" s="16">
        <v>13</v>
      </c>
      <c r="BO36" s="299" t="s">
        <v>904</v>
      </c>
      <c r="BP36" s="16">
        <v>3</v>
      </c>
    </row>
    <row r="37" spans="1:68" ht="32.1" customHeight="1" x14ac:dyDescent="0.3">
      <c r="A37" s="9"/>
      <c r="B37" s="316"/>
      <c r="C37" s="317"/>
      <c r="D37" s="317"/>
      <c r="E37" s="318"/>
      <c r="F37" s="316"/>
      <c r="G37" s="317"/>
      <c r="H37" s="317"/>
      <c r="I37" s="318"/>
      <c r="J37" s="56"/>
      <c r="K37" s="357"/>
      <c r="L37" s="375"/>
      <c r="M37" s="358"/>
      <c r="N37" s="354"/>
      <c r="O37" s="355"/>
      <c r="P37" s="56"/>
      <c r="Q37" s="411"/>
      <c r="R37" s="412"/>
      <c r="S37" s="354"/>
      <c r="T37" s="355"/>
      <c r="U37" s="354"/>
      <c r="V37" s="355"/>
      <c r="W37" s="56"/>
      <c r="X37" s="351"/>
      <c r="Y37" s="351"/>
      <c r="Z37" s="351"/>
      <c r="AA37" s="351"/>
      <c r="AB37" s="9"/>
      <c r="AC37" s="168" t="s">
        <v>955</v>
      </c>
      <c r="AD37" s="168">
        <v>76</v>
      </c>
      <c r="AE37" s="168" t="s">
        <v>954</v>
      </c>
      <c r="AF37" s="168" t="s">
        <v>108</v>
      </c>
      <c r="AG37" s="168" t="s">
        <v>247</v>
      </c>
      <c r="AH37" s="9"/>
      <c r="AI37" s="9"/>
      <c r="AY37" s="104" t="s">
        <v>386</v>
      </c>
      <c r="AZ37" s="16" t="s">
        <v>182</v>
      </c>
      <c r="BA37" s="16" t="s">
        <v>183</v>
      </c>
      <c r="BB37" s="16" t="s">
        <v>429</v>
      </c>
      <c r="BC37" s="16" t="s">
        <v>430</v>
      </c>
      <c r="BI37" s="16">
        <v>14</v>
      </c>
      <c r="BO37" s="299" t="s">
        <v>905</v>
      </c>
      <c r="BP37" s="16">
        <v>3</v>
      </c>
    </row>
    <row r="38" spans="1:68" ht="32.1" customHeight="1" x14ac:dyDescent="0.3">
      <c r="A38" s="9"/>
      <c r="B38" s="356" t="str">
        <f>IF(B29=AU21,AO29," ---- // ---- ")</f>
        <v xml:space="preserve"> ---- // ---- </v>
      </c>
      <c r="C38" s="356"/>
      <c r="D38" s="356"/>
      <c r="E38" s="356"/>
      <c r="F38" s="356" t="str" cm="1">
        <f t="array" ref="F38">IFERROR(_xlfn.IFS(B29=AU21,AO31,B29=AU20,AT31),"---//---")</f>
        <v>---//---</v>
      </c>
      <c r="G38" s="356"/>
      <c r="H38" s="356"/>
      <c r="I38" s="356"/>
      <c r="J38" s="56"/>
      <c r="K38" s="357"/>
      <c r="L38" s="375"/>
      <c r="M38" s="358"/>
      <c r="N38" s="354"/>
      <c r="O38" s="355"/>
      <c r="P38" s="56"/>
      <c r="Q38" s="411"/>
      <c r="R38" s="412"/>
      <c r="S38" s="354"/>
      <c r="T38" s="355"/>
      <c r="U38" s="354"/>
      <c r="V38" s="355"/>
      <c r="W38" s="56"/>
      <c r="X38" s="351"/>
      <c r="Y38" s="351"/>
      <c r="Z38" s="351"/>
      <c r="AA38" s="351"/>
      <c r="AB38" s="9"/>
      <c r="AC38" s="168" t="s">
        <v>959</v>
      </c>
      <c r="AD38" s="168">
        <v>60</v>
      </c>
      <c r="AE38" s="168" t="s">
        <v>960</v>
      </c>
      <c r="AF38" s="168" t="s">
        <v>108</v>
      </c>
      <c r="AG38" s="168" t="s">
        <v>247</v>
      </c>
      <c r="AH38" s="9"/>
      <c r="AI38" s="9"/>
      <c r="AY38" s="174" t="s">
        <v>365</v>
      </c>
      <c r="AZ38" s="16" t="s">
        <v>181</v>
      </c>
      <c r="BA38" s="16" t="s">
        <v>183</v>
      </c>
      <c r="BB38" s="16" t="s">
        <v>429</v>
      </c>
      <c r="BC38" s="16" t="s">
        <v>828</v>
      </c>
      <c r="BI38" s="16">
        <v>15</v>
      </c>
      <c r="BO38" s="299" t="s">
        <v>906</v>
      </c>
      <c r="BP38" s="16">
        <v>6</v>
      </c>
    </row>
    <row r="39" spans="1:68" ht="32.1" customHeight="1" x14ac:dyDescent="0.3">
      <c r="A39" s="9"/>
      <c r="B39" s="377"/>
      <c r="C39" s="377"/>
      <c r="D39" s="377"/>
      <c r="E39" s="377"/>
      <c r="F39" s="377"/>
      <c r="G39" s="377"/>
      <c r="H39" s="377"/>
      <c r="I39" s="377"/>
      <c r="J39" s="56"/>
      <c r="K39" s="316"/>
      <c r="L39" s="317"/>
      <c r="M39" s="318"/>
      <c r="N39" s="349"/>
      <c r="O39" s="350"/>
      <c r="P39" s="56"/>
      <c r="Q39" s="413"/>
      <c r="R39" s="414"/>
      <c r="S39" s="349"/>
      <c r="T39" s="350"/>
      <c r="U39" s="349"/>
      <c r="V39" s="350"/>
      <c r="W39" s="56"/>
      <c r="X39" s="351"/>
      <c r="Y39" s="351"/>
      <c r="Z39" s="351"/>
      <c r="AA39" s="351"/>
      <c r="AB39" s="9"/>
      <c r="AC39" s="9"/>
      <c r="AD39" s="9"/>
      <c r="AE39" s="9"/>
      <c r="AF39" s="9"/>
      <c r="AG39" s="9"/>
      <c r="AH39" s="9"/>
      <c r="AI39" s="9"/>
      <c r="AY39" s="174" t="s">
        <v>347</v>
      </c>
      <c r="AZ39" s="16" t="s">
        <v>181</v>
      </c>
      <c r="BA39" s="16" t="s">
        <v>184</v>
      </c>
      <c r="BB39" s="16" t="s">
        <v>429</v>
      </c>
      <c r="BC39" s="16" t="s">
        <v>817</v>
      </c>
      <c r="BI39" s="16">
        <v>16</v>
      </c>
      <c r="BO39" s="299" t="s">
        <v>907</v>
      </c>
      <c r="BP39" s="16">
        <v>6</v>
      </c>
    </row>
    <row r="40" spans="1:68" ht="32.1" customHeight="1" x14ac:dyDescent="0.3">
      <c r="A40" s="9"/>
      <c r="B40" s="378" t="s">
        <v>131</v>
      </c>
      <c r="C40" s="378"/>
      <c r="D40" s="378"/>
      <c r="E40" s="378"/>
      <c r="F40" s="378" t="s">
        <v>131</v>
      </c>
      <c r="G40" s="378"/>
      <c r="H40" s="378"/>
      <c r="I40" s="378"/>
      <c r="J40" s="56"/>
      <c r="K40" s="376" t="str">
        <f>IF(L34="ALTO","Firma","--- // ---")</f>
        <v>--- // ---</v>
      </c>
      <c r="L40" s="376"/>
      <c r="M40" s="376"/>
      <c r="N40" s="347"/>
      <c r="O40" s="348"/>
      <c r="P40" s="56"/>
      <c r="Q40" s="313" t="s">
        <v>704</v>
      </c>
      <c r="R40" s="315"/>
      <c r="S40" s="347"/>
      <c r="T40" s="348"/>
      <c r="U40" s="347"/>
      <c r="V40" s="348"/>
      <c r="W40" s="56"/>
      <c r="X40" s="351"/>
      <c r="Y40" s="351"/>
      <c r="Z40" s="351"/>
      <c r="AA40" s="351"/>
      <c r="AB40" s="9"/>
      <c r="AC40" s="637"/>
      <c r="AD40" s="638"/>
      <c r="AE40" s="638"/>
      <c r="AF40" s="638"/>
      <c r="AG40" s="639"/>
      <c r="AH40" s="9"/>
      <c r="AI40" s="9"/>
      <c r="AY40" s="174" t="s">
        <v>349</v>
      </c>
      <c r="AZ40" s="16" t="s">
        <v>181</v>
      </c>
      <c r="BA40" s="16" t="s">
        <v>183</v>
      </c>
      <c r="BB40" s="16" t="s">
        <v>429</v>
      </c>
      <c r="BC40" s="16" t="s">
        <v>836</v>
      </c>
      <c r="BI40" s="16">
        <v>17</v>
      </c>
      <c r="BO40" s="299" t="s">
        <v>908</v>
      </c>
      <c r="BP40" s="16">
        <v>3</v>
      </c>
    </row>
    <row r="41" spans="1:68" ht="32.1" customHeight="1" x14ac:dyDescent="0.3">
      <c r="A41" s="9"/>
      <c r="B41" s="378"/>
      <c r="C41" s="378"/>
      <c r="D41" s="378"/>
      <c r="E41" s="378"/>
      <c r="F41" s="378"/>
      <c r="G41" s="378"/>
      <c r="H41" s="378"/>
      <c r="I41" s="378"/>
      <c r="J41" s="56"/>
      <c r="K41" s="376"/>
      <c r="L41" s="376"/>
      <c r="M41" s="376"/>
      <c r="N41" s="354"/>
      <c r="O41" s="355"/>
      <c r="P41" s="56"/>
      <c r="Q41" s="357"/>
      <c r="R41" s="358"/>
      <c r="S41" s="354"/>
      <c r="T41" s="355"/>
      <c r="U41" s="354"/>
      <c r="V41" s="355"/>
      <c r="W41" s="56"/>
      <c r="X41" s="351"/>
      <c r="Y41" s="351"/>
      <c r="Z41" s="351"/>
      <c r="AA41" s="351"/>
      <c r="AB41" s="9"/>
      <c r="AC41" s="640"/>
      <c r="AD41" s="641"/>
      <c r="AE41" s="641"/>
      <c r="AF41" s="641"/>
      <c r="AG41" s="642"/>
      <c r="AH41" s="9"/>
      <c r="AI41" s="9"/>
      <c r="AY41" s="174" t="s">
        <v>350</v>
      </c>
      <c r="AZ41" s="16" t="s">
        <v>182</v>
      </c>
      <c r="BA41" s="16" t="s">
        <v>370</v>
      </c>
      <c r="BB41" s="16" t="s">
        <v>427</v>
      </c>
      <c r="BC41" s="16" t="s">
        <v>430</v>
      </c>
      <c r="BI41" s="16">
        <v>18</v>
      </c>
      <c r="BO41" s="299" t="s">
        <v>909</v>
      </c>
      <c r="BP41" s="16">
        <v>3</v>
      </c>
    </row>
    <row r="42" spans="1:68" ht="32.1" customHeight="1" x14ac:dyDescent="0.3">
      <c r="A42" s="9"/>
      <c r="B42" s="378"/>
      <c r="C42" s="378"/>
      <c r="D42" s="378"/>
      <c r="E42" s="378"/>
      <c r="F42" s="378"/>
      <c r="G42" s="378"/>
      <c r="H42" s="378"/>
      <c r="I42" s="378"/>
      <c r="J42" s="57"/>
      <c r="K42" s="376"/>
      <c r="L42" s="376"/>
      <c r="M42" s="376"/>
      <c r="N42" s="354"/>
      <c r="O42" s="355"/>
      <c r="P42" s="57"/>
      <c r="Q42" s="357"/>
      <c r="R42" s="358"/>
      <c r="S42" s="354"/>
      <c r="T42" s="355"/>
      <c r="U42" s="354"/>
      <c r="V42" s="355"/>
      <c r="W42" s="57"/>
      <c r="X42" s="351"/>
      <c r="Y42" s="351"/>
      <c r="Z42" s="351"/>
      <c r="AA42" s="351"/>
      <c r="AB42" s="9"/>
      <c r="AC42" s="640"/>
      <c r="AD42" s="641"/>
      <c r="AE42" s="641"/>
      <c r="AF42" s="641"/>
      <c r="AG42" s="642"/>
      <c r="AH42" s="9"/>
      <c r="AI42" s="9"/>
      <c r="AY42" s="174" t="s">
        <v>351</v>
      </c>
      <c r="AZ42" s="16" t="s">
        <v>181</v>
      </c>
      <c r="BA42" s="16" t="s">
        <v>184</v>
      </c>
      <c r="BB42" s="16" t="s">
        <v>828</v>
      </c>
      <c r="BC42" s="16" t="s">
        <v>830</v>
      </c>
      <c r="BI42" s="16">
        <v>19</v>
      </c>
      <c r="BO42" s="299" t="s">
        <v>910</v>
      </c>
      <c r="BP42" s="16">
        <v>3</v>
      </c>
    </row>
    <row r="43" spans="1:68" ht="32.1" customHeight="1" x14ac:dyDescent="0.3">
      <c r="A43" s="9"/>
      <c r="B43" s="378"/>
      <c r="C43" s="378"/>
      <c r="D43" s="378"/>
      <c r="E43" s="378"/>
      <c r="F43" s="378"/>
      <c r="G43" s="378"/>
      <c r="H43" s="378"/>
      <c r="I43" s="378"/>
      <c r="J43" s="57"/>
      <c r="K43" s="376"/>
      <c r="L43" s="376"/>
      <c r="M43" s="376"/>
      <c r="N43" s="349"/>
      <c r="O43" s="350"/>
      <c r="P43" s="57"/>
      <c r="Q43" s="316"/>
      <c r="R43" s="318"/>
      <c r="S43" s="349"/>
      <c r="T43" s="350"/>
      <c r="U43" s="349"/>
      <c r="V43" s="350"/>
      <c r="W43" s="57"/>
      <c r="X43" s="351"/>
      <c r="Y43" s="351"/>
      <c r="Z43" s="351"/>
      <c r="AA43" s="351"/>
      <c r="AB43" s="9"/>
      <c r="AC43" s="640"/>
      <c r="AD43" s="641"/>
      <c r="AE43" s="641"/>
      <c r="AF43" s="641"/>
      <c r="AG43" s="642"/>
      <c r="AH43" s="9"/>
      <c r="AI43" s="9"/>
      <c r="AY43" s="174" t="s">
        <v>363</v>
      </c>
      <c r="AZ43" s="16" t="s">
        <v>181</v>
      </c>
      <c r="BA43" s="16" t="s">
        <v>186</v>
      </c>
      <c r="BB43" s="16" t="s">
        <v>828</v>
      </c>
      <c r="BC43" s="16" t="s">
        <v>12</v>
      </c>
      <c r="BI43" s="16">
        <v>20</v>
      </c>
      <c r="BO43" s="296" t="s">
        <v>912</v>
      </c>
      <c r="BP43" s="16">
        <v>3</v>
      </c>
    </row>
    <row r="44" spans="1:68" ht="32.1" customHeight="1" x14ac:dyDescent="0.3">
      <c r="A44" s="9"/>
      <c r="B44" s="368" t="str">
        <f>AD9</f>
        <v>Luis Carlos Andrade</v>
      </c>
      <c r="C44" s="368"/>
      <c r="D44" s="368"/>
      <c r="E44" s="368"/>
      <c r="F44" s="368">
        <f>AD10</f>
        <v>0</v>
      </c>
      <c r="G44" s="368"/>
      <c r="H44" s="368"/>
      <c r="I44" s="368"/>
      <c r="J44" s="52"/>
      <c r="K44" s="368" t="str">
        <f>IF(L34="ALTO","Oscar Julián Sanchez Velandia","--- // ---")</f>
        <v>--- // ---</v>
      </c>
      <c r="L44" s="368"/>
      <c r="M44" s="368"/>
      <c r="N44" s="352"/>
      <c r="O44" s="353"/>
      <c r="P44" s="52"/>
      <c r="Q44" s="406"/>
      <c r="R44" s="406"/>
      <c r="S44" s="342"/>
      <c r="T44" s="343"/>
      <c r="U44" s="342"/>
      <c r="V44" s="343"/>
      <c r="W44" s="52"/>
      <c r="X44" s="351"/>
      <c r="Y44" s="351"/>
      <c r="Z44" s="351"/>
      <c r="AA44" s="351"/>
      <c r="AB44" s="9"/>
      <c r="AC44" s="640"/>
      <c r="AD44" s="641"/>
      <c r="AE44" s="641"/>
      <c r="AF44" s="641"/>
      <c r="AG44" s="642"/>
      <c r="AH44" s="9"/>
      <c r="AI44" s="9"/>
      <c r="AY44" s="104" t="s">
        <v>389</v>
      </c>
      <c r="AZ44" s="16" t="s">
        <v>181</v>
      </c>
      <c r="BA44" s="16" t="s">
        <v>183</v>
      </c>
      <c r="BB44" s="16" t="s">
        <v>817</v>
      </c>
      <c r="BC44" s="16" t="s">
        <v>429</v>
      </c>
      <c r="BI44" s="16">
        <v>21</v>
      </c>
      <c r="BO44" s="296" t="s">
        <v>914</v>
      </c>
      <c r="BP44" s="16">
        <v>3</v>
      </c>
    </row>
    <row r="45" spans="1:68" ht="32.1" customHeight="1" x14ac:dyDescent="0.3">
      <c r="A45" s="9"/>
      <c r="B45" s="368" t="str">
        <f>AE9</f>
        <v>IVA 1328</v>
      </c>
      <c r="C45" s="368"/>
      <c r="D45" s="368"/>
      <c r="E45" s="368"/>
      <c r="F45" s="368">
        <f>AE10</f>
        <v>0</v>
      </c>
      <c r="G45" s="368"/>
      <c r="H45" s="368"/>
      <c r="I45" s="368"/>
      <c r="J45" s="58"/>
      <c r="K45" s="368" t="str">
        <f>IF(L34="ALTO","Responsable de Instrucción Vuelo","--- // ---")</f>
        <v>--- // ---</v>
      </c>
      <c r="L45" s="368"/>
      <c r="M45" s="368"/>
      <c r="N45" s="352"/>
      <c r="O45" s="353"/>
      <c r="P45" s="58"/>
      <c r="Q45" s="406"/>
      <c r="R45" s="406"/>
      <c r="S45" s="342"/>
      <c r="T45" s="343"/>
      <c r="U45" s="342"/>
      <c r="V45" s="343"/>
      <c r="W45" s="58"/>
      <c r="X45" s="351"/>
      <c r="Y45" s="351"/>
      <c r="Z45" s="351"/>
      <c r="AA45" s="351"/>
      <c r="AB45" s="9"/>
      <c r="AC45" s="643"/>
      <c r="AD45" s="644"/>
      <c r="AE45" s="644"/>
      <c r="AF45" s="644"/>
      <c r="AG45" s="645"/>
      <c r="AH45" s="9"/>
      <c r="AI45" s="9"/>
      <c r="AY45" s="183" t="s">
        <v>384</v>
      </c>
      <c r="AZ45" s="16" t="s">
        <v>182</v>
      </c>
      <c r="BA45" s="16" t="s">
        <v>183</v>
      </c>
      <c r="BB45" s="16" t="s">
        <v>813</v>
      </c>
      <c r="BC45" s="16" t="s">
        <v>828</v>
      </c>
      <c r="BI45" s="16">
        <v>22</v>
      </c>
      <c r="BO45" s="296" t="s">
        <v>884</v>
      </c>
      <c r="BP45" s="16">
        <v>3</v>
      </c>
    </row>
    <row r="46" spans="1:68" ht="21.9" customHeight="1" x14ac:dyDescent="0.3">
      <c r="A46" s="9"/>
      <c r="B46" s="52"/>
      <c r="C46" s="52"/>
      <c r="D46" s="52"/>
      <c r="E46" s="52"/>
      <c r="F46" s="52"/>
      <c r="G46" s="52"/>
      <c r="H46" s="52"/>
      <c r="I46" s="52"/>
      <c r="J46" s="52"/>
      <c r="K46" s="52"/>
      <c r="L46" s="52"/>
      <c r="M46" s="52"/>
      <c r="N46" s="52"/>
      <c r="O46" s="52"/>
      <c r="P46" s="52"/>
      <c r="Q46" s="10"/>
      <c r="R46" s="10"/>
      <c r="S46" s="10"/>
      <c r="T46" s="10"/>
      <c r="U46" s="10"/>
      <c r="V46" s="10"/>
      <c r="W46" s="52"/>
      <c r="X46" s="110"/>
      <c r="Y46" s="110"/>
      <c r="Z46" s="110"/>
      <c r="AA46" s="110"/>
      <c r="AB46" s="9"/>
      <c r="AC46" s="10"/>
      <c r="AD46" s="10"/>
      <c r="AE46" s="10"/>
      <c r="AF46" s="10"/>
      <c r="AG46" s="10"/>
      <c r="AH46" s="9"/>
      <c r="AI46" s="9"/>
      <c r="AY46" s="183" t="s">
        <v>383</v>
      </c>
      <c r="AZ46" s="16" t="s">
        <v>182</v>
      </c>
      <c r="BA46" s="16" t="s">
        <v>183</v>
      </c>
      <c r="BB46" s="16" t="s">
        <v>813</v>
      </c>
      <c r="BC46" s="16" t="s">
        <v>812</v>
      </c>
      <c r="BI46" s="16">
        <v>23</v>
      </c>
      <c r="BO46" s="296" t="s">
        <v>916</v>
      </c>
      <c r="BP46" s="16">
        <v>3</v>
      </c>
    </row>
    <row r="47" spans="1:68" ht="30" customHeight="1" x14ac:dyDescent="0.3">
      <c r="A47" s="9"/>
      <c r="B47" s="323"/>
      <c r="C47" s="324"/>
      <c r="D47" s="329" t="s">
        <v>0</v>
      </c>
      <c r="E47" s="330"/>
      <c r="F47" s="330"/>
      <c r="G47" s="330"/>
      <c r="H47" s="330"/>
      <c r="I47" s="330"/>
      <c r="J47" s="330"/>
      <c r="K47" s="330"/>
      <c r="L47" s="330"/>
      <c r="M47" s="330"/>
      <c r="N47" s="330"/>
      <c r="O47" s="330"/>
      <c r="P47" s="330"/>
      <c r="Q47" s="330"/>
      <c r="R47" s="330"/>
      <c r="S47" s="330"/>
      <c r="T47" s="330"/>
      <c r="U47" s="330"/>
      <c r="V47" s="330"/>
      <c r="W47" s="330"/>
      <c r="X47" s="330"/>
      <c r="Y47" s="330"/>
      <c r="Z47" s="331"/>
      <c r="AA47" s="290" t="s">
        <v>864</v>
      </c>
      <c r="AB47" s="9"/>
      <c r="AC47" s="472" t="s">
        <v>706</v>
      </c>
      <c r="AD47" s="473"/>
      <c r="AE47" s="473"/>
      <c r="AF47" s="473"/>
      <c r="AG47" s="474"/>
      <c r="AH47" s="9"/>
      <c r="AI47" s="9"/>
      <c r="AY47" s="174" t="s">
        <v>353</v>
      </c>
      <c r="AZ47" s="16" t="s">
        <v>181</v>
      </c>
      <c r="BA47" s="16" t="s">
        <v>186</v>
      </c>
      <c r="BB47" s="16" t="s">
        <v>813</v>
      </c>
      <c r="BC47" s="16" t="s">
        <v>836</v>
      </c>
      <c r="BI47" s="16">
        <v>24</v>
      </c>
      <c r="BO47" s="296" t="s">
        <v>918</v>
      </c>
      <c r="BP47" s="16">
        <v>3</v>
      </c>
    </row>
    <row r="48" spans="1:68" ht="30" customHeight="1" x14ac:dyDescent="0.3">
      <c r="A48" s="9"/>
      <c r="B48" s="325"/>
      <c r="C48" s="326"/>
      <c r="D48" s="332" t="s">
        <v>403</v>
      </c>
      <c r="E48" s="333"/>
      <c r="F48" s="333"/>
      <c r="G48" s="333"/>
      <c r="H48" s="333"/>
      <c r="I48" s="333"/>
      <c r="J48" s="333"/>
      <c r="K48" s="333"/>
      <c r="L48" s="333"/>
      <c r="M48" s="333"/>
      <c r="N48" s="333"/>
      <c r="O48" s="333"/>
      <c r="P48" s="333"/>
      <c r="Q48" s="333"/>
      <c r="R48" s="333"/>
      <c r="S48" s="333"/>
      <c r="T48" s="333"/>
      <c r="U48" s="333"/>
      <c r="V48" s="333"/>
      <c r="W48" s="333"/>
      <c r="X48" s="333"/>
      <c r="Y48" s="333"/>
      <c r="Z48" s="334"/>
      <c r="AA48" s="291" t="s">
        <v>549</v>
      </c>
      <c r="AB48" s="9"/>
      <c r="AC48" s="475"/>
      <c r="AD48" s="636"/>
      <c r="AE48" s="636"/>
      <c r="AF48" s="636"/>
      <c r="AG48" s="477"/>
      <c r="AH48" s="9"/>
      <c r="AI48" s="9"/>
      <c r="AY48" s="185" t="s">
        <v>358</v>
      </c>
      <c r="AZ48" s="16" t="s">
        <v>181</v>
      </c>
      <c r="BA48" s="16" t="s">
        <v>186</v>
      </c>
      <c r="BB48" s="16" t="s">
        <v>812</v>
      </c>
      <c r="BC48" s="16" t="s">
        <v>427</v>
      </c>
      <c r="BI48" s="16">
        <v>25</v>
      </c>
      <c r="BO48" s="296" t="s">
        <v>890</v>
      </c>
      <c r="BP48" s="16">
        <v>3</v>
      </c>
    </row>
    <row r="49" spans="1:88" ht="30" customHeight="1" x14ac:dyDescent="0.3">
      <c r="A49" s="9"/>
      <c r="B49" s="325"/>
      <c r="C49" s="326"/>
      <c r="D49" s="335" t="s">
        <v>862</v>
      </c>
      <c r="E49" s="335"/>
      <c r="F49" s="335"/>
      <c r="G49" s="335"/>
      <c r="H49" s="335"/>
      <c r="I49" s="335"/>
      <c r="J49" s="335"/>
      <c r="K49" s="335"/>
      <c r="L49" s="335"/>
      <c r="M49" s="335"/>
      <c r="N49" s="335"/>
      <c r="O49" s="335"/>
      <c r="P49" s="335"/>
      <c r="Q49" s="335"/>
      <c r="R49" s="335"/>
      <c r="S49" s="335"/>
      <c r="T49" s="335"/>
      <c r="U49" s="335"/>
      <c r="V49" s="335"/>
      <c r="W49" s="335"/>
      <c r="X49" s="335"/>
      <c r="Y49" s="335"/>
      <c r="Z49" s="335"/>
      <c r="AA49" s="292" t="s">
        <v>947</v>
      </c>
      <c r="AB49" s="9"/>
      <c r="AC49" s="475"/>
      <c r="AD49" s="636"/>
      <c r="AE49" s="636"/>
      <c r="AF49" s="636"/>
      <c r="AG49" s="477"/>
      <c r="AH49" s="9"/>
      <c r="AI49" s="9"/>
      <c r="AQ49" s="13"/>
      <c r="AY49" s="16" t="s">
        <v>390</v>
      </c>
      <c r="AZ49" s="16" t="s">
        <v>182</v>
      </c>
      <c r="BA49" s="16" t="s">
        <v>186</v>
      </c>
      <c r="BB49" s="16" t="s">
        <v>812</v>
      </c>
      <c r="BC49" s="16" t="s">
        <v>830</v>
      </c>
      <c r="BE49" s="12"/>
      <c r="BG49" s="12"/>
      <c r="BI49" s="16">
        <v>26</v>
      </c>
      <c r="BK49" s="12"/>
      <c r="BO49" s="296" t="s">
        <v>920</v>
      </c>
      <c r="BP49" s="16">
        <v>3</v>
      </c>
      <c r="BQ49" s="12"/>
      <c r="BS49" s="12"/>
      <c r="BU49" s="12"/>
      <c r="BW49" s="12"/>
      <c r="BY49" s="12"/>
      <c r="CA49" s="12"/>
      <c r="CC49" s="12"/>
      <c r="CE49" s="12"/>
      <c r="CF49" s="12"/>
      <c r="CG49" s="12"/>
      <c r="CH49" s="12"/>
      <c r="CI49" s="12"/>
      <c r="CJ49" s="12"/>
    </row>
    <row r="50" spans="1:88" ht="30" customHeight="1" x14ac:dyDescent="0.3">
      <c r="A50" s="9"/>
      <c r="B50" s="327"/>
      <c r="C50" s="328"/>
      <c r="D50" s="336"/>
      <c r="E50" s="336"/>
      <c r="F50" s="336"/>
      <c r="G50" s="336"/>
      <c r="H50" s="336"/>
      <c r="I50" s="336"/>
      <c r="J50" s="336"/>
      <c r="K50" s="336"/>
      <c r="L50" s="336"/>
      <c r="M50" s="336"/>
      <c r="N50" s="336"/>
      <c r="O50" s="336"/>
      <c r="P50" s="336"/>
      <c r="Q50" s="336"/>
      <c r="R50" s="336"/>
      <c r="S50" s="336"/>
      <c r="T50" s="336"/>
      <c r="U50" s="336"/>
      <c r="V50" s="336"/>
      <c r="W50" s="336"/>
      <c r="X50" s="336"/>
      <c r="Y50" s="336"/>
      <c r="Z50" s="336"/>
      <c r="AA50" s="293" t="s">
        <v>948</v>
      </c>
      <c r="AB50" s="9"/>
      <c r="AC50" s="478"/>
      <c r="AD50" s="479"/>
      <c r="AE50" s="479"/>
      <c r="AF50" s="479"/>
      <c r="AG50" s="480"/>
      <c r="AH50" s="9"/>
      <c r="AI50" s="9"/>
      <c r="AQ50" s="13"/>
      <c r="AY50" s="185" t="s">
        <v>359</v>
      </c>
      <c r="AZ50" s="16" t="s">
        <v>181</v>
      </c>
      <c r="BA50" s="16" t="s">
        <v>186</v>
      </c>
      <c r="BB50" s="16" t="s">
        <v>831</v>
      </c>
      <c r="BC50" s="16" t="s">
        <v>828</v>
      </c>
      <c r="BI50" s="16">
        <v>27</v>
      </c>
      <c r="BO50" s="296" t="s">
        <v>893</v>
      </c>
      <c r="BP50" s="16">
        <v>3</v>
      </c>
    </row>
    <row r="51" spans="1:88" ht="15.9" customHeight="1" x14ac:dyDescent="0.3">
      <c r="A51" s="9"/>
      <c r="B51" s="337"/>
      <c r="C51" s="337"/>
      <c r="D51" s="337"/>
      <c r="E51" s="337"/>
      <c r="F51" s="337"/>
      <c r="G51" s="337"/>
      <c r="H51" s="337"/>
      <c r="I51" s="337"/>
      <c r="J51" s="337"/>
      <c r="K51" s="337"/>
      <c r="L51" s="337"/>
      <c r="M51" s="337"/>
      <c r="N51" s="337"/>
      <c r="O51" s="337"/>
      <c r="P51" s="337"/>
      <c r="Q51" s="337"/>
      <c r="R51" s="337"/>
      <c r="S51" s="337"/>
      <c r="T51" s="337"/>
      <c r="U51" s="337"/>
      <c r="V51" s="337"/>
      <c r="W51" s="337"/>
      <c r="X51" s="337"/>
      <c r="Y51" s="337"/>
      <c r="Z51" s="337"/>
      <c r="AA51" s="337"/>
      <c r="AB51" s="9"/>
      <c r="AC51" s="9"/>
      <c r="AD51" s="9"/>
      <c r="AE51" s="9"/>
      <c r="AF51" s="9"/>
      <c r="AG51" s="9"/>
      <c r="AH51" s="9"/>
      <c r="AI51" s="9"/>
      <c r="AQ51" s="13"/>
      <c r="AY51" s="16" t="s">
        <v>388</v>
      </c>
      <c r="AZ51" s="16" t="s">
        <v>181</v>
      </c>
      <c r="BA51" s="16" t="s">
        <v>183</v>
      </c>
      <c r="BB51" s="16" t="s">
        <v>831</v>
      </c>
      <c r="BC51" s="16" t="s">
        <v>832</v>
      </c>
      <c r="BE51" s="12"/>
      <c r="BG51" s="12"/>
      <c r="BI51" s="16">
        <v>28</v>
      </c>
      <c r="BK51" s="12"/>
      <c r="BO51" s="297" t="s">
        <v>921</v>
      </c>
      <c r="BP51" s="16">
        <v>3</v>
      </c>
      <c r="BQ51" s="12"/>
      <c r="BS51" s="12"/>
      <c r="BU51" s="12"/>
      <c r="BW51" s="12"/>
      <c r="BY51" s="12"/>
      <c r="CA51" s="12"/>
      <c r="CC51" s="12"/>
      <c r="CE51" s="12"/>
      <c r="CF51" s="12"/>
      <c r="CG51" s="12"/>
      <c r="CH51" s="12"/>
      <c r="CI51" s="12"/>
      <c r="CJ51" s="12"/>
    </row>
    <row r="52" spans="1:88" ht="36.9" customHeight="1" x14ac:dyDescent="0.3">
      <c r="A52" s="9"/>
      <c r="B52" s="338" t="s">
        <v>494</v>
      </c>
      <c r="C52" s="338"/>
      <c r="D52" s="338"/>
      <c r="E52" s="338"/>
      <c r="F52" s="338"/>
      <c r="G52" s="338"/>
      <c r="H52" s="338"/>
      <c r="I52" s="338"/>
      <c r="J52" s="338"/>
      <c r="K52" s="338"/>
      <c r="L52" s="338"/>
      <c r="M52" s="338"/>
      <c r="N52" s="338"/>
      <c r="O52" s="338"/>
      <c r="P52" s="338"/>
      <c r="Q52" s="338"/>
      <c r="R52" s="338"/>
      <c r="S52" s="338"/>
      <c r="T52" s="338"/>
      <c r="U52" s="338"/>
      <c r="V52" s="338"/>
      <c r="W52" s="338"/>
      <c r="X52" s="338"/>
      <c r="Y52" s="338"/>
      <c r="Z52" s="338"/>
      <c r="AA52" s="338"/>
      <c r="AB52" s="9"/>
      <c r="AC52" s="359" t="s">
        <v>705</v>
      </c>
      <c r="AD52" s="437"/>
      <c r="AE52" s="437"/>
      <c r="AF52" s="437"/>
      <c r="AG52" s="360"/>
      <c r="AH52" s="9"/>
      <c r="AI52" s="9"/>
      <c r="AQ52" s="13"/>
      <c r="AY52" s="185" t="s">
        <v>360</v>
      </c>
      <c r="AZ52" s="16" t="s">
        <v>181</v>
      </c>
      <c r="BA52" s="16" t="s">
        <v>183</v>
      </c>
      <c r="BB52" s="16" t="s">
        <v>824</v>
      </c>
      <c r="BC52" s="16" t="s">
        <v>813</v>
      </c>
      <c r="BE52" s="12"/>
      <c r="BG52" s="12"/>
      <c r="BI52" s="16">
        <v>29</v>
      </c>
      <c r="BK52" s="12"/>
      <c r="BO52" s="297" t="s">
        <v>922</v>
      </c>
      <c r="BP52" s="16">
        <v>3</v>
      </c>
      <c r="BQ52" s="12"/>
      <c r="BS52" s="12"/>
      <c r="BU52" s="12"/>
      <c r="BW52" s="12"/>
      <c r="BY52" s="12"/>
      <c r="CA52" s="12"/>
      <c r="CC52" s="12"/>
      <c r="CE52" s="12"/>
      <c r="CF52" s="12"/>
      <c r="CG52" s="12"/>
      <c r="CH52" s="12"/>
      <c r="CI52" s="12"/>
      <c r="CJ52" s="12"/>
    </row>
    <row r="53" spans="1:88" ht="36.9" customHeight="1" x14ac:dyDescent="0.3">
      <c r="A53" s="9"/>
      <c r="B53" s="178"/>
      <c r="C53" s="179" t="s">
        <v>414</v>
      </c>
      <c r="D53" s="339" t="s">
        <v>496</v>
      </c>
      <c r="E53" s="339"/>
      <c r="F53" s="339" t="s">
        <v>497</v>
      </c>
      <c r="G53" s="339"/>
      <c r="H53" s="339" t="s">
        <v>517</v>
      </c>
      <c r="I53" s="339"/>
      <c r="J53" s="339"/>
      <c r="K53" s="339"/>
      <c r="L53" s="339"/>
      <c r="M53" s="339"/>
      <c r="N53" s="339"/>
      <c r="O53" s="339"/>
      <c r="P53" s="339"/>
      <c r="Q53" s="339"/>
      <c r="R53" s="339"/>
      <c r="S53" s="339"/>
      <c r="T53" s="339"/>
      <c r="U53" s="339"/>
      <c r="V53" s="339"/>
      <c r="W53" s="339"/>
      <c r="X53" s="339"/>
      <c r="Y53" s="339" t="s">
        <v>513</v>
      </c>
      <c r="Z53" s="339"/>
      <c r="AA53" s="339"/>
      <c r="AB53" s="9"/>
      <c r="AC53" s="441" t="s">
        <v>708</v>
      </c>
      <c r="AD53" s="442"/>
      <c r="AE53" s="442"/>
      <c r="AF53" s="442"/>
      <c r="AG53" s="443"/>
      <c r="AH53" s="9"/>
      <c r="AI53" s="9"/>
      <c r="AQ53" s="13"/>
      <c r="AY53" s="185" t="s">
        <v>362</v>
      </c>
      <c r="AZ53" s="16" t="s">
        <v>182</v>
      </c>
      <c r="BA53" s="16" t="s">
        <v>183</v>
      </c>
      <c r="BB53" s="16" t="s">
        <v>837</v>
      </c>
      <c r="BC53" s="16" t="s">
        <v>817</v>
      </c>
      <c r="BE53" s="12"/>
      <c r="BG53" s="12"/>
      <c r="BI53" s="16">
        <v>30</v>
      </c>
      <c r="BK53" s="12"/>
      <c r="BO53" s="297" t="s">
        <v>884</v>
      </c>
      <c r="BP53" s="16">
        <v>3</v>
      </c>
      <c r="BQ53" s="12"/>
      <c r="BS53" s="12"/>
      <c r="BU53" s="12"/>
      <c r="BW53" s="12"/>
      <c r="BY53" s="12"/>
      <c r="CA53" s="12"/>
      <c r="CC53" s="12"/>
      <c r="CE53" s="12"/>
      <c r="CF53" s="12"/>
      <c r="CG53" s="12"/>
      <c r="CH53" s="12"/>
      <c r="CI53" s="12"/>
      <c r="CJ53" s="12"/>
    </row>
    <row r="54" spans="1:88" ht="36.9" customHeight="1" x14ac:dyDescent="0.3">
      <c r="A54" s="9"/>
      <c r="B54" s="311" t="str">
        <f>Q19</f>
        <v>⦿</v>
      </c>
      <c r="C54" s="180" t="s">
        <v>406</v>
      </c>
      <c r="D54" s="181" t="str">
        <f>IFERROR(VLOOKUP(AJ54,PREVAC!$AI$3:AQ230,4,FALSE),"¿?")</f>
        <v>¿?</v>
      </c>
      <c r="E54" s="181" t="str">
        <f>IFERROR(VLOOKUP(AJ54,PREVAC!$AI$3:AQ230,5,FALSE),"¿?")</f>
        <v>¿?</v>
      </c>
      <c r="F54" s="307" t="str">
        <f>IFERROR(VLOOKUP(AJ54,PREVAC!$AI$3:AQ230,6,FALSE),"¿?")</f>
        <v>¿?</v>
      </c>
      <c r="G54" s="307"/>
      <c r="H54" s="308" t="str">
        <f>IFERROR(VLOOKUP(AJ54,PREVAC!$AI$3:AQ230,7,FALSE),"¿?")</f>
        <v>¿?</v>
      </c>
      <c r="I54" s="308"/>
      <c r="J54" s="308"/>
      <c r="K54" s="308"/>
      <c r="L54" s="308"/>
      <c r="M54" s="308" t="str">
        <f>IFERROR(VLOOKUP(AJ54,PREVAC!$AI$3:AQ230,8,FALSE),"¿?")</f>
        <v>¿?</v>
      </c>
      <c r="N54" s="308"/>
      <c r="O54" s="308"/>
      <c r="P54" s="308"/>
      <c r="Q54" s="308"/>
      <c r="R54" s="308"/>
      <c r="S54" s="308"/>
      <c r="T54" s="308"/>
      <c r="U54" s="308"/>
      <c r="V54" s="308"/>
      <c r="W54" s="308"/>
      <c r="X54" s="308"/>
      <c r="Y54" s="308" t="str">
        <f>IFERROR(VLOOKUP(AJ54,PREVAC!$AI$3:AQ230,9,FALSE),"¿?")</f>
        <v>¿?</v>
      </c>
      <c r="Z54" s="308"/>
      <c r="AA54" s="308"/>
      <c r="AB54" s="9"/>
      <c r="AC54" s="419" t="s">
        <v>716</v>
      </c>
      <c r="AD54" s="628"/>
      <c r="AE54" s="628"/>
      <c r="AF54" s="628"/>
      <c r="AG54" s="629"/>
      <c r="AH54" s="9"/>
      <c r="AI54" s="9"/>
      <c r="AJ54" s="182" t="str">
        <f t="shared" ref="AJ54:AJ60" si="1">CONCATENATE($B$56,"-",C54)</f>
        <v>Origen-MACA</v>
      </c>
      <c r="AQ54" s="13"/>
      <c r="AY54" s="185" t="s">
        <v>361</v>
      </c>
      <c r="AZ54" s="16" t="s">
        <v>182</v>
      </c>
      <c r="BA54" s="16" t="s">
        <v>184</v>
      </c>
      <c r="BB54" s="16" t="s">
        <v>815</v>
      </c>
      <c r="BC54" s="16" t="s">
        <v>817</v>
      </c>
      <c r="BE54" s="12"/>
      <c r="BG54" s="12"/>
      <c r="BI54" s="16">
        <v>31</v>
      </c>
      <c r="BK54" s="12"/>
      <c r="BO54" s="297" t="s">
        <v>923</v>
      </c>
      <c r="BP54" s="16">
        <v>3</v>
      </c>
      <c r="BQ54" s="12"/>
      <c r="BS54" s="12"/>
      <c r="BU54" s="12"/>
      <c r="BW54" s="12"/>
      <c r="BY54" s="12"/>
      <c r="CA54" s="12"/>
      <c r="CC54" s="12"/>
      <c r="CE54" s="12"/>
      <c r="CF54" s="12"/>
      <c r="CG54" s="12"/>
      <c r="CH54" s="12"/>
      <c r="CI54" s="12"/>
      <c r="CJ54" s="12"/>
    </row>
    <row r="55" spans="1:88" ht="36.9" customHeight="1" x14ac:dyDescent="0.3">
      <c r="A55" s="9"/>
      <c r="B55" s="312"/>
      <c r="C55" s="180" t="s">
        <v>407</v>
      </c>
      <c r="D55" s="181" t="str">
        <f>IFERROR(VLOOKUP(AJ55,PREVAC!$AI$3:AQ231,4,FALSE),"¿?")</f>
        <v>¿?</v>
      </c>
      <c r="E55" s="181" t="str">
        <f>IFERROR(VLOOKUP(AJ55,PREVAC!$AI$3:AQ231,5,FALSE),"¿?")</f>
        <v>¿?</v>
      </c>
      <c r="F55" s="307" t="str">
        <f>IFERROR(VLOOKUP(AJ55,PREVAC!$AI$3:AQ231,6,FALSE),"¿?")</f>
        <v>¿?</v>
      </c>
      <c r="G55" s="307"/>
      <c r="H55" s="308" t="str">
        <f>IFERROR(VLOOKUP(AJ55,PREVAC!$AI$3:AQ231,7,FALSE),"¿?")</f>
        <v>¿?</v>
      </c>
      <c r="I55" s="308"/>
      <c r="J55" s="308"/>
      <c r="K55" s="308"/>
      <c r="L55" s="308"/>
      <c r="M55" s="308" t="str">
        <f>IFERROR(VLOOKUP(AJ55,PREVAC!$AI$3:AQ231,8,FALSE),"¿?")</f>
        <v>¿?</v>
      </c>
      <c r="N55" s="308"/>
      <c r="O55" s="308"/>
      <c r="P55" s="308"/>
      <c r="Q55" s="308"/>
      <c r="R55" s="308"/>
      <c r="S55" s="308"/>
      <c r="T55" s="308"/>
      <c r="U55" s="308"/>
      <c r="V55" s="308"/>
      <c r="W55" s="308"/>
      <c r="X55" s="308"/>
      <c r="Y55" s="308" t="str">
        <f>IFERROR(VLOOKUP(AJ55,PREVAC!$AI$3:AQ231,9,FALSE),"¿?")</f>
        <v>¿?</v>
      </c>
      <c r="Z55" s="308"/>
      <c r="AA55" s="308"/>
      <c r="AB55" s="9"/>
      <c r="AC55" s="630"/>
      <c r="AD55" s="631"/>
      <c r="AE55" s="631"/>
      <c r="AF55" s="631"/>
      <c r="AG55" s="632"/>
      <c r="AH55" s="9"/>
      <c r="AI55" s="9"/>
      <c r="AJ55" s="182" t="str">
        <f t="shared" si="1"/>
        <v>Origen-BASH</v>
      </c>
      <c r="AQ55" s="13"/>
      <c r="AY55" s="16" t="s">
        <v>387</v>
      </c>
      <c r="AZ55" s="16" t="s">
        <v>181</v>
      </c>
      <c r="BA55" s="16" t="s">
        <v>183</v>
      </c>
      <c r="BB55" s="16" t="s">
        <v>816</v>
      </c>
      <c r="BC55" s="16" t="s">
        <v>812</v>
      </c>
      <c r="BE55" s="12"/>
      <c r="BG55" s="12"/>
      <c r="BK55" s="12"/>
      <c r="BO55" s="297" t="s">
        <v>924</v>
      </c>
      <c r="BP55" s="16">
        <v>3</v>
      </c>
      <c r="BQ55" s="12"/>
      <c r="BS55" s="12"/>
      <c r="BU55" s="12"/>
      <c r="BW55" s="12"/>
      <c r="BY55" s="12"/>
      <c r="CA55" s="12"/>
      <c r="CC55" s="12"/>
      <c r="CE55" s="12"/>
      <c r="CF55" s="12"/>
      <c r="CG55" s="12"/>
      <c r="CH55" s="12"/>
      <c r="CI55" s="12"/>
      <c r="CJ55" s="12"/>
    </row>
    <row r="56" spans="1:88" ht="36.9" customHeight="1" x14ac:dyDescent="0.3">
      <c r="A56" s="9"/>
      <c r="B56" s="309" t="str">
        <f>IF(H8=0,"Origen",H8)</f>
        <v>Origen</v>
      </c>
      <c r="C56" s="180" t="s">
        <v>408</v>
      </c>
      <c r="D56" s="181" t="str">
        <f>IFERROR(VLOOKUP(AJ56,PREVAC!$AI$3:AQ232,4,FALSE),"¿?")</f>
        <v>¿?</v>
      </c>
      <c r="E56" s="181" t="str">
        <f>IFERROR(VLOOKUP(AJ56,PREVAC!$AI$3:AQ232,5,FALSE),"¿?")</f>
        <v>¿?</v>
      </c>
      <c r="F56" s="307" t="str">
        <f>IFERROR(VLOOKUP(AJ56,PREVAC!$AI$3:AQ232,6,FALSE),"¿?")</f>
        <v>¿?</v>
      </c>
      <c r="G56" s="307"/>
      <c r="H56" s="308" t="str">
        <f>IFERROR(VLOOKUP(AJ56,PREVAC!$AI$3:AQ232,7,FALSE),"¿?")</f>
        <v>¿?</v>
      </c>
      <c r="I56" s="308"/>
      <c r="J56" s="308"/>
      <c r="K56" s="308"/>
      <c r="L56" s="308"/>
      <c r="M56" s="308" t="str">
        <f>IFERROR(VLOOKUP(AJ56,PREVAC!$AI$3:AQ232,8,FALSE),"¿?")</f>
        <v>¿?</v>
      </c>
      <c r="N56" s="308"/>
      <c r="O56" s="308"/>
      <c r="P56" s="308"/>
      <c r="Q56" s="308"/>
      <c r="R56" s="308"/>
      <c r="S56" s="308"/>
      <c r="T56" s="308"/>
      <c r="U56" s="308"/>
      <c r="V56" s="308"/>
      <c r="W56" s="308"/>
      <c r="X56" s="308"/>
      <c r="Y56" s="308" t="str">
        <f>IFERROR(VLOOKUP(AJ56,PREVAC!$AI$3:AQ232,9,FALSE),"¿?")</f>
        <v>¿?</v>
      </c>
      <c r="Z56" s="308"/>
      <c r="AA56" s="308"/>
      <c r="AB56" s="9"/>
      <c r="AC56" s="633"/>
      <c r="AD56" s="634"/>
      <c r="AE56" s="634"/>
      <c r="AF56" s="634"/>
      <c r="AG56" s="635"/>
      <c r="AH56" s="9"/>
      <c r="AI56" s="9"/>
      <c r="AJ56" s="182" t="str">
        <f t="shared" si="1"/>
        <v>Origen-GAP</v>
      </c>
      <c r="AQ56" s="13"/>
      <c r="BC56" s="12"/>
      <c r="BE56" s="12"/>
      <c r="BG56" s="12"/>
      <c r="BK56" s="12"/>
      <c r="BO56" s="297" t="s">
        <v>890</v>
      </c>
      <c r="BP56" s="16">
        <v>3</v>
      </c>
      <c r="BQ56" s="12"/>
      <c r="BS56" s="12"/>
      <c r="BU56" s="12"/>
      <c r="BW56" s="12"/>
      <c r="BY56" s="12"/>
      <c r="CA56" s="12"/>
      <c r="CC56" s="12"/>
      <c r="CE56" s="12"/>
      <c r="CF56" s="12"/>
      <c r="CG56" s="12"/>
      <c r="CH56" s="12"/>
      <c r="CI56" s="12"/>
      <c r="CJ56" s="12"/>
    </row>
    <row r="57" spans="1:88" ht="36.9" customHeight="1" x14ac:dyDescent="0.3">
      <c r="A57" s="9"/>
      <c r="B57" s="305"/>
      <c r="C57" s="184" t="s">
        <v>409</v>
      </c>
      <c r="D57" s="181" t="str">
        <f>IFERROR(VLOOKUP(AJ57,PREVAC!$AI$3:AQ233,4,FALSE),"¿?")</f>
        <v>¿?</v>
      </c>
      <c r="E57" s="181" t="str">
        <f>IFERROR(VLOOKUP(AJ57,PREVAC!$AI$3:AQ233,5,FALSE),"¿?")</f>
        <v>¿?</v>
      </c>
      <c r="F57" s="307" t="str">
        <f>IFERROR(VLOOKUP(AJ57,PREVAC!$AI$3:AQ233,6,FALSE),"¿?")</f>
        <v>¿?</v>
      </c>
      <c r="G57" s="307"/>
      <c r="H57" s="308" t="str">
        <f>IFERROR(VLOOKUP(AJ57,PREVAC!$AI$3:AQ233,7,FALSE),"¿?")</f>
        <v>¿?</v>
      </c>
      <c r="I57" s="308"/>
      <c r="J57" s="308"/>
      <c r="K57" s="308"/>
      <c r="L57" s="308"/>
      <c r="M57" s="308" t="str">
        <f>IFERROR(VLOOKUP(AJ57,PREVAC!$AI$3:AQ233,8,FALSE),"¿?")</f>
        <v>¿?</v>
      </c>
      <c r="N57" s="308"/>
      <c r="O57" s="308"/>
      <c r="P57" s="308"/>
      <c r="Q57" s="308"/>
      <c r="R57" s="308"/>
      <c r="S57" s="308"/>
      <c r="T57" s="308"/>
      <c r="U57" s="308"/>
      <c r="V57" s="308"/>
      <c r="W57" s="308"/>
      <c r="X57" s="308"/>
      <c r="Y57" s="308" t="str">
        <f>IFERROR(VLOOKUP(AJ57,PREVAC!$AI$3:AQ233,9,FALSE),"¿?")</f>
        <v>¿?</v>
      </c>
      <c r="Z57" s="308"/>
      <c r="AA57" s="308"/>
      <c r="AB57" s="9"/>
      <c r="AC57" s="22" t="s">
        <v>406</v>
      </c>
      <c r="AD57" s="359" t="s">
        <v>709</v>
      </c>
      <c r="AE57" s="437"/>
      <c r="AF57" s="437"/>
      <c r="AG57" s="360"/>
      <c r="AH57" s="9"/>
      <c r="AI57" s="9"/>
      <c r="AJ57" s="182" t="str">
        <f t="shared" si="1"/>
        <v>Origen-CFIT</v>
      </c>
      <c r="AQ57" s="13"/>
      <c r="BC57" s="12"/>
      <c r="BE57" s="12"/>
      <c r="BG57" s="12"/>
      <c r="BK57" s="12"/>
      <c r="BO57" s="297" t="s">
        <v>925</v>
      </c>
      <c r="BP57" s="16">
        <v>3</v>
      </c>
      <c r="BQ57" s="12"/>
      <c r="BS57" s="12"/>
      <c r="BU57" s="12"/>
      <c r="BW57" s="12"/>
      <c r="BY57" s="12"/>
      <c r="CA57" s="12"/>
      <c r="CC57" s="12"/>
      <c r="CE57" s="12"/>
      <c r="CF57" s="12"/>
      <c r="CG57" s="12"/>
      <c r="CH57" s="12"/>
      <c r="CI57" s="12"/>
      <c r="CJ57" s="12"/>
    </row>
    <row r="58" spans="1:88" ht="36.9" customHeight="1" x14ac:dyDescent="0.3">
      <c r="A58" s="9"/>
      <c r="B58" s="305"/>
      <c r="C58" s="184" t="s">
        <v>410</v>
      </c>
      <c r="D58" s="181" t="str">
        <f>IFERROR(VLOOKUP(AJ58,PREVAC!$AI$3:AQ234,4,FALSE),"¿?")</f>
        <v>¿?</v>
      </c>
      <c r="E58" s="181" t="str">
        <f>IFERROR(VLOOKUP(AJ58,PREVAC!$AI$3:AQ234,5,FALSE),"¿?")</f>
        <v>¿?</v>
      </c>
      <c r="F58" s="307" t="str">
        <f>IFERROR(VLOOKUP(AJ58,PREVAC!$AI$3:AQ234,6,FALSE),"¿?")</f>
        <v>¿?</v>
      </c>
      <c r="G58" s="307"/>
      <c r="H58" s="308" t="str">
        <f>IFERROR(VLOOKUP(AJ58,PREVAC!$AI$3:AQ234,7,FALSE),"¿?")</f>
        <v>¿?</v>
      </c>
      <c r="I58" s="308"/>
      <c r="J58" s="308"/>
      <c r="K58" s="308"/>
      <c r="L58" s="308"/>
      <c r="M58" s="308" t="str">
        <f>IFERROR(VLOOKUP(AJ58,PREVAC!$AI$3:AQ234,8,FALSE),"¿?")</f>
        <v>¿?</v>
      </c>
      <c r="N58" s="308"/>
      <c r="O58" s="308"/>
      <c r="P58" s="308"/>
      <c r="Q58" s="308"/>
      <c r="R58" s="308"/>
      <c r="S58" s="308"/>
      <c r="T58" s="308"/>
      <c r="U58" s="308"/>
      <c r="V58" s="308"/>
      <c r="W58" s="308"/>
      <c r="X58" s="308"/>
      <c r="Y58" s="308" t="str">
        <f>IFERROR(VLOOKUP(AJ58,PREVAC!$AI$3:AQ234,9,FALSE),"¿?")</f>
        <v>¿?</v>
      </c>
      <c r="Z58" s="308"/>
      <c r="AA58" s="308"/>
      <c r="AB58" s="9"/>
      <c r="AC58" s="419" t="s">
        <v>717</v>
      </c>
      <c r="AD58" s="628"/>
      <c r="AE58" s="628"/>
      <c r="AF58" s="628"/>
      <c r="AG58" s="629"/>
      <c r="AH58" s="9"/>
      <c r="AI58" s="9"/>
      <c r="AJ58" s="182" t="str">
        <f t="shared" si="1"/>
        <v>Origen-FOD</v>
      </c>
      <c r="AQ58" s="13"/>
      <c r="BA58" s="12"/>
      <c r="BC58" s="12"/>
      <c r="BE58" s="12"/>
      <c r="BG58" s="12"/>
      <c r="BK58" s="12"/>
      <c r="BO58" s="297" t="s">
        <v>926</v>
      </c>
      <c r="BP58" s="16">
        <v>3</v>
      </c>
      <c r="BQ58" s="12"/>
      <c r="BS58" s="12"/>
      <c r="BU58" s="12"/>
      <c r="BW58" s="12"/>
      <c r="BY58" s="12"/>
      <c r="CA58" s="12"/>
      <c r="CC58" s="12"/>
      <c r="CE58" s="12"/>
      <c r="CF58" s="12"/>
      <c r="CG58" s="12"/>
      <c r="CH58" s="12"/>
      <c r="CI58" s="12"/>
      <c r="CJ58" s="12"/>
    </row>
    <row r="59" spans="1:88" ht="36.9" customHeight="1" x14ac:dyDescent="0.3">
      <c r="A59" s="9"/>
      <c r="B59" s="305" t="s">
        <v>512</v>
      </c>
      <c r="C59" s="184" t="s">
        <v>412</v>
      </c>
      <c r="D59" s="181" t="str">
        <f>IFERROR(VLOOKUP(AJ59,PREVAC!$AI$3:AQ235,4,FALSE),"¿?")</f>
        <v>¿?</v>
      </c>
      <c r="E59" s="181" t="str">
        <f>IFERROR(VLOOKUP(AJ59,PREVAC!$AI$3:AQ235,5,FALSE),"¿?")</f>
        <v>¿?</v>
      </c>
      <c r="F59" s="307" t="str">
        <f>IFERROR(VLOOKUP(AJ59,PREVAC!$AI$3:AQ235,6,FALSE),"¿?")</f>
        <v>¿?</v>
      </c>
      <c r="G59" s="307"/>
      <c r="H59" s="308" t="str">
        <f>IFERROR(VLOOKUP(AJ59,PREVAC!$AI$3:AQ235,7,FALSE),"¿?")</f>
        <v>¿?</v>
      </c>
      <c r="I59" s="308"/>
      <c r="J59" s="308"/>
      <c r="K59" s="308"/>
      <c r="L59" s="308"/>
      <c r="M59" s="308" t="str">
        <f>IFERROR(VLOOKUP(AJ59,PREVAC!$AI$3:AQ235,8,FALSE),"¿?")</f>
        <v>¿?</v>
      </c>
      <c r="N59" s="308"/>
      <c r="O59" s="308"/>
      <c r="P59" s="308"/>
      <c r="Q59" s="308"/>
      <c r="R59" s="308"/>
      <c r="S59" s="308"/>
      <c r="T59" s="308"/>
      <c r="U59" s="308"/>
      <c r="V59" s="308"/>
      <c r="W59" s="308"/>
      <c r="X59" s="308"/>
      <c r="Y59" s="308" t="str">
        <f>IFERROR(VLOOKUP(AJ59,PREVAC!$AI$3:AQ235,9,FALSE),"¿?")</f>
        <v>¿?</v>
      </c>
      <c r="Z59" s="308"/>
      <c r="AA59" s="308"/>
      <c r="AB59" s="9"/>
      <c r="AC59" s="630"/>
      <c r="AD59" s="631"/>
      <c r="AE59" s="631"/>
      <c r="AF59" s="631"/>
      <c r="AG59" s="632"/>
      <c r="AH59" s="9"/>
      <c r="AI59" s="9"/>
      <c r="AJ59" s="182" t="str">
        <f t="shared" si="1"/>
        <v>Origen-RIP</v>
      </c>
      <c r="AQ59" s="13"/>
      <c r="BA59" s="12"/>
      <c r="BC59" s="12"/>
      <c r="BE59" s="12"/>
      <c r="BG59" s="12"/>
      <c r="BK59" s="12"/>
      <c r="BO59" s="297" t="s">
        <v>927</v>
      </c>
      <c r="BP59" s="16">
        <v>3</v>
      </c>
      <c r="BQ59" s="12"/>
      <c r="BS59" s="12"/>
      <c r="BU59" s="12"/>
      <c r="BW59" s="12"/>
      <c r="BY59" s="12"/>
      <c r="CA59" s="12"/>
      <c r="CC59" s="12"/>
      <c r="CE59" s="12"/>
      <c r="CF59" s="12"/>
      <c r="CG59" s="12"/>
      <c r="CH59" s="12"/>
      <c r="CI59" s="12"/>
      <c r="CJ59" s="12"/>
    </row>
    <row r="60" spans="1:88" ht="36.9" customHeight="1" x14ac:dyDescent="0.3">
      <c r="A60" s="9"/>
      <c r="B60" s="306"/>
      <c r="C60" s="184" t="s">
        <v>411</v>
      </c>
      <c r="D60" s="181" t="str">
        <f>IFERROR(VLOOKUP(AJ60,PREVAC!$AI$3:AQ236,4,FALSE),"¿?")</f>
        <v>¿?</v>
      </c>
      <c r="E60" s="181" t="str">
        <f>IFERROR(VLOOKUP(AJ60,PREVAC!$AI$3:AQ236,5,FALSE),"¿?")</f>
        <v>¿?</v>
      </c>
      <c r="F60" s="307" t="str">
        <f>IFERROR(VLOOKUP(AJ60,PREVAC!$AI$3:AQ236,6,FALSE),"¿?")</f>
        <v>¿?</v>
      </c>
      <c r="G60" s="307"/>
      <c r="H60" s="308" t="str">
        <f>IFERROR(VLOOKUP(AJ60,PREVAC!$AI$3:AQ236,7,FALSE),"¿?")</f>
        <v>¿?</v>
      </c>
      <c r="I60" s="308"/>
      <c r="J60" s="308"/>
      <c r="K60" s="308"/>
      <c r="L60" s="308"/>
      <c r="M60" s="308" t="str">
        <f>IFERROR(VLOOKUP(AJ60,PREVAC!$AI$3:AQ236,8,FALSE),"¿?")</f>
        <v>¿?</v>
      </c>
      <c r="N60" s="308"/>
      <c r="O60" s="308"/>
      <c r="P60" s="308"/>
      <c r="Q60" s="308"/>
      <c r="R60" s="308"/>
      <c r="S60" s="308"/>
      <c r="T60" s="308"/>
      <c r="U60" s="308"/>
      <c r="V60" s="308"/>
      <c r="W60" s="308"/>
      <c r="X60" s="308"/>
      <c r="Y60" s="308" t="str">
        <f>IFERROR(VLOOKUP(AJ60,PREVAC!$AI$3:AQ236,9,FALSE),"¿?")</f>
        <v>¿?</v>
      </c>
      <c r="Z60" s="308"/>
      <c r="AA60" s="308"/>
      <c r="AB60" s="9"/>
      <c r="AC60" s="633"/>
      <c r="AD60" s="634"/>
      <c r="AE60" s="634"/>
      <c r="AF60" s="634"/>
      <c r="AG60" s="635"/>
      <c r="AH60" s="9"/>
      <c r="AI60" s="9"/>
      <c r="AJ60" s="182" t="str">
        <f t="shared" si="1"/>
        <v>Origen-ALAR</v>
      </c>
      <c r="AQ60" s="13"/>
      <c r="BA60" s="12"/>
      <c r="BC60" s="12"/>
      <c r="BE60" s="12"/>
      <c r="BG60" s="12"/>
      <c r="BK60" s="12"/>
      <c r="BO60" s="297" t="s">
        <v>893</v>
      </c>
      <c r="BP60" s="16">
        <v>3</v>
      </c>
      <c r="BQ60" s="12"/>
      <c r="BS60" s="12"/>
      <c r="BU60" s="12"/>
      <c r="BW60" s="12"/>
      <c r="BY60" s="12"/>
      <c r="CA60" s="12"/>
      <c r="CC60" s="12"/>
      <c r="CE60" s="12"/>
      <c r="CF60" s="12"/>
      <c r="CG60" s="12"/>
      <c r="CH60" s="12"/>
      <c r="CI60" s="12"/>
      <c r="CJ60" s="12"/>
    </row>
    <row r="61" spans="1:88" ht="36.9" customHeight="1" x14ac:dyDescent="0.3">
      <c r="A61" s="9"/>
      <c r="B61" s="322"/>
      <c r="C61" s="310"/>
      <c r="D61" s="310"/>
      <c r="E61" s="310"/>
      <c r="F61" s="310"/>
      <c r="G61" s="310"/>
      <c r="H61" s="310"/>
      <c r="I61" s="310"/>
      <c r="J61" s="310"/>
      <c r="K61" s="310"/>
      <c r="L61" s="310"/>
      <c r="M61" s="310"/>
      <c r="N61" s="310"/>
      <c r="O61" s="310"/>
      <c r="P61" s="310"/>
      <c r="Q61" s="310"/>
      <c r="R61" s="310"/>
      <c r="S61" s="310"/>
      <c r="T61" s="310"/>
      <c r="U61" s="310"/>
      <c r="V61" s="310"/>
      <c r="W61" s="310"/>
      <c r="X61" s="310"/>
      <c r="Y61" s="310"/>
      <c r="Z61" s="310"/>
      <c r="AA61" s="310"/>
      <c r="AB61" s="9"/>
      <c r="AC61" s="22" t="s">
        <v>407</v>
      </c>
      <c r="AD61" s="359" t="s">
        <v>710</v>
      </c>
      <c r="AE61" s="437"/>
      <c r="AF61" s="437"/>
      <c r="AG61" s="360"/>
      <c r="AH61" s="9"/>
      <c r="AI61" s="9"/>
      <c r="AJ61" s="182"/>
      <c r="AQ61" s="13"/>
      <c r="BA61" s="12"/>
      <c r="BC61" s="12"/>
      <c r="BE61" s="12"/>
      <c r="BG61" s="12"/>
      <c r="BK61" s="12"/>
      <c r="BO61" s="16" t="s">
        <v>116</v>
      </c>
      <c r="BP61" s="16">
        <v>0</v>
      </c>
      <c r="BQ61" s="12"/>
      <c r="BS61" s="12"/>
      <c r="BU61" s="12"/>
      <c r="BW61" s="12"/>
      <c r="BY61" s="12"/>
      <c r="CA61" s="12"/>
      <c r="CC61" s="12"/>
      <c r="CE61" s="12"/>
      <c r="CF61" s="12"/>
      <c r="CG61" s="12"/>
      <c r="CH61" s="12"/>
      <c r="CI61" s="12"/>
      <c r="CJ61" s="12"/>
    </row>
    <row r="62" spans="1:88" ht="36.9" customHeight="1" x14ac:dyDescent="0.3">
      <c r="A62" s="9"/>
      <c r="B62" s="311" t="str">
        <f>R19</f>
        <v>⦿</v>
      </c>
      <c r="C62" s="186" t="s">
        <v>406</v>
      </c>
      <c r="D62" s="181" t="str">
        <f>IFERROR(VLOOKUP(AJ62,PREVAC!$AI$3:AQ238,4,FALSE),"¿?")</f>
        <v>¿?</v>
      </c>
      <c r="E62" s="181" t="str">
        <f>IFERROR(VLOOKUP(AJ62,PREVAC!$AI$3:AQ238,5,FALSE),"¿?")</f>
        <v>¿?</v>
      </c>
      <c r="F62" s="307" t="str">
        <f>IFERROR(VLOOKUP(AJ62,PREVAC!$AI$3:AQ238,6,FALSE),"¿?")</f>
        <v>¿?</v>
      </c>
      <c r="G62" s="307"/>
      <c r="H62" s="308" t="str">
        <f>IFERROR(VLOOKUP(AJ62,PREVAC!$AI$3:AQ238,7,FALSE),"¿?")</f>
        <v>¿?</v>
      </c>
      <c r="I62" s="308"/>
      <c r="J62" s="308"/>
      <c r="K62" s="308"/>
      <c r="L62" s="308"/>
      <c r="M62" s="308" t="str">
        <f>IFERROR(VLOOKUP(AJ62,PREVAC!$AI$3:AQ238,8,FALSE),"¿?")</f>
        <v>¿?</v>
      </c>
      <c r="N62" s="308"/>
      <c r="O62" s="308"/>
      <c r="P62" s="308"/>
      <c r="Q62" s="308"/>
      <c r="R62" s="308"/>
      <c r="S62" s="308"/>
      <c r="T62" s="308"/>
      <c r="U62" s="308"/>
      <c r="V62" s="308"/>
      <c r="W62" s="308"/>
      <c r="X62" s="308"/>
      <c r="Y62" s="308" t="str">
        <f>IFERROR(VLOOKUP(AJ62,PREVAC!$AI$3:AQ238,9,FALSE),"¿?")</f>
        <v>¿?</v>
      </c>
      <c r="Z62" s="308"/>
      <c r="AA62" s="308"/>
      <c r="AB62" s="9"/>
      <c r="AC62" s="419" t="s">
        <v>718</v>
      </c>
      <c r="AD62" s="628"/>
      <c r="AE62" s="628"/>
      <c r="AF62" s="628"/>
      <c r="AG62" s="629"/>
      <c r="AH62" s="9"/>
      <c r="AI62" s="9"/>
      <c r="AJ62" s="182" t="str">
        <f t="shared" ref="AJ62:AJ68" si="2">CONCATENATE($B$64,"-",C62)</f>
        <v>Destino-MACA</v>
      </c>
      <c r="AQ62" s="13"/>
      <c r="BA62" s="12"/>
      <c r="BC62" s="12"/>
      <c r="BE62" s="12"/>
      <c r="BG62" s="12"/>
      <c r="BK62" s="12"/>
      <c r="BO62" s="16" t="s">
        <v>944</v>
      </c>
      <c r="BP62" s="16">
        <v>10</v>
      </c>
      <c r="BQ62" s="12"/>
      <c r="BS62" s="12"/>
      <c r="BU62" s="12"/>
      <c r="BW62" s="12"/>
      <c r="BY62" s="12"/>
      <c r="CA62" s="12"/>
      <c r="CC62" s="12"/>
      <c r="CE62" s="12"/>
      <c r="CF62" s="12"/>
      <c r="CG62" s="12"/>
      <c r="CH62" s="12"/>
      <c r="CI62" s="12"/>
      <c r="CJ62" s="12"/>
    </row>
    <row r="63" spans="1:88" ht="36.9" customHeight="1" x14ac:dyDescent="0.3">
      <c r="A63" s="9"/>
      <c r="B63" s="312"/>
      <c r="C63" s="186" t="s">
        <v>407</v>
      </c>
      <c r="D63" s="181" t="str">
        <f>IFERROR(VLOOKUP(AJ63,PREVAC!$AI$3:AQ239,4,FALSE),"¿?")</f>
        <v>¿?</v>
      </c>
      <c r="E63" s="181" t="str">
        <f>IFERROR(VLOOKUP(AJ63,PREVAC!$AI$3:AQ239,5,FALSE),"¿?")</f>
        <v>¿?</v>
      </c>
      <c r="F63" s="307" t="str">
        <f>IFERROR(VLOOKUP(AJ63,PREVAC!$AI$3:AQ239,6,FALSE),"¿?")</f>
        <v>¿?</v>
      </c>
      <c r="G63" s="307"/>
      <c r="H63" s="308" t="str">
        <f>IFERROR(VLOOKUP(AJ63,PREVAC!$AI$3:AQ239,7,FALSE),"¿?")</f>
        <v>¿?</v>
      </c>
      <c r="I63" s="308"/>
      <c r="J63" s="308"/>
      <c r="K63" s="308"/>
      <c r="L63" s="308"/>
      <c r="M63" s="308" t="str">
        <f>IFERROR(VLOOKUP(AJ63,PREVAC!$AI$3:AQ239,8,FALSE),"¿?")</f>
        <v>¿?</v>
      </c>
      <c r="N63" s="308"/>
      <c r="O63" s="308"/>
      <c r="P63" s="308"/>
      <c r="Q63" s="308"/>
      <c r="R63" s="308"/>
      <c r="S63" s="308"/>
      <c r="T63" s="308"/>
      <c r="U63" s="308"/>
      <c r="V63" s="308"/>
      <c r="W63" s="308"/>
      <c r="X63" s="308"/>
      <c r="Y63" s="308" t="str">
        <f>IFERROR(VLOOKUP(AJ63,PREVAC!$AI$3:AQ239,9,FALSE),"¿?")</f>
        <v>¿?</v>
      </c>
      <c r="Z63" s="308"/>
      <c r="AA63" s="308"/>
      <c r="AB63" s="9"/>
      <c r="AC63" s="630"/>
      <c r="AD63" s="631"/>
      <c r="AE63" s="631"/>
      <c r="AF63" s="631"/>
      <c r="AG63" s="632"/>
      <c r="AH63" s="9"/>
      <c r="AI63" s="9"/>
      <c r="AJ63" s="182" t="str">
        <f t="shared" si="2"/>
        <v>Destino-BASH</v>
      </c>
      <c r="AQ63" s="13"/>
      <c r="BA63" s="12"/>
      <c r="BC63" s="12"/>
      <c r="BE63" s="12"/>
      <c r="BG63" s="12"/>
      <c r="BK63" s="12"/>
      <c r="BO63" s="12"/>
      <c r="BQ63" s="12"/>
      <c r="BS63" s="12"/>
      <c r="BU63" s="12"/>
      <c r="BW63" s="12"/>
      <c r="BY63" s="12"/>
      <c r="CA63" s="12"/>
      <c r="CC63" s="12"/>
      <c r="CE63" s="12"/>
      <c r="CF63" s="12"/>
      <c r="CG63" s="12"/>
      <c r="CH63" s="12"/>
      <c r="CI63" s="12"/>
      <c r="CJ63" s="12"/>
    </row>
    <row r="64" spans="1:88" ht="36.9" customHeight="1" x14ac:dyDescent="0.3">
      <c r="A64" s="9"/>
      <c r="B64" s="309" t="str">
        <f>IF(H9=0,"Destino",H9)</f>
        <v>Destino</v>
      </c>
      <c r="C64" s="186" t="s">
        <v>408</v>
      </c>
      <c r="D64" s="181" t="str">
        <f>IFERROR(VLOOKUP(AJ64,PREVAC!$AI$3:AQ240,4,FALSE),"¿?")</f>
        <v>¿?</v>
      </c>
      <c r="E64" s="181" t="str">
        <f>IFERROR(VLOOKUP(AJ64,PREVAC!$AI$3:AQ240,5,FALSE),"¿?")</f>
        <v>¿?</v>
      </c>
      <c r="F64" s="307" t="str">
        <f>IFERROR(VLOOKUP(AJ64,PREVAC!$AI$3:AQ240,6,FALSE),"¿?")</f>
        <v>¿?</v>
      </c>
      <c r="G64" s="307"/>
      <c r="H64" s="308" t="str">
        <f>IFERROR(VLOOKUP(AJ64,PREVAC!$AI$3:AQ240,7,FALSE),"¿?")</f>
        <v>¿?</v>
      </c>
      <c r="I64" s="308"/>
      <c r="J64" s="308"/>
      <c r="K64" s="308"/>
      <c r="L64" s="308"/>
      <c r="M64" s="308" t="str">
        <f>IFERROR(VLOOKUP(AJ64,PREVAC!$AI$3:AQ240,8,FALSE),"¿?")</f>
        <v>¿?</v>
      </c>
      <c r="N64" s="308"/>
      <c r="O64" s="308"/>
      <c r="P64" s="308"/>
      <c r="Q64" s="308"/>
      <c r="R64" s="308"/>
      <c r="S64" s="308"/>
      <c r="T64" s="308"/>
      <c r="U64" s="308"/>
      <c r="V64" s="308"/>
      <c r="W64" s="308"/>
      <c r="X64" s="308"/>
      <c r="Y64" s="308" t="str">
        <f>IFERROR(VLOOKUP(AJ64,PREVAC!$AI$3:AQ240,9,FALSE),"¿?")</f>
        <v>¿?</v>
      </c>
      <c r="Z64" s="308"/>
      <c r="AA64" s="308"/>
      <c r="AB64" s="9"/>
      <c r="AC64" s="633"/>
      <c r="AD64" s="634"/>
      <c r="AE64" s="634"/>
      <c r="AF64" s="634"/>
      <c r="AG64" s="635"/>
      <c r="AH64" s="9"/>
      <c r="AI64" s="9"/>
      <c r="AJ64" s="182" t="str">
        <f t="shared" si="2"/>
        <v>Destino-GAP</v>
      </c>
      <c r="AQ64" s="13"/>
      <c r="BA64" s="12"/>
      <c r="BC64" s="12"/>
      <c r="BE64" s="12"/>
      <c r="BG64" s="12"/>
      <c r="BK64" s="12"/>
      <c r="BO64" s="12"/>
      <c r="BQ64" s="12"/>
      <c r="BS64" s="12"/>
      <c r="BU64" s="12"/>
      <c r="BW64" s="12"/>
      <c r="BY64" s="12"/>
      <c r="CA64" s="12"/>
      <c r="CC64" s="12"/>
      <c r="CE64" s="12"/>
      <c r="CF64" s="12"/>
      <c r="CG64" s="12"/>
      <c r="CH64" s="12"/>
      <c r="CI64" s="12"/>
      <c r="CJ64" s="12"/>
    </row>
    <row r="65" spans="1:43" ht="36.9" customHeight="1" x14ac:dyDescent="0.3">
      <c r="A65" s="9"/>
      <c r="B65" s="305"/>
      <c r="C65" s="187" t="s">
        <v>409</v>
      </c>
      <c r="D65" s="181" t="str">
        <f>IFERROR(VLOOKUP(AJ65,PREVAC!$AI$3:AQ241,4,FALSE),"¿?")</f>
        <v>¿?</v>
      </c>
      <c r="E65" s="181" t="str">
        <f>IFERROR(VLOOKUP(AJ65,PREVAC!$AI$3:AQ241,5,FALSE),"¿?")</f>
        <v>¿?</v>
      </c>
      <c r="F65" s="307" t="str">
        <f>IFERROR(VLOOKUP(AJ65,PREVAC!$AI$3:AQ241,6,FALSE),"¿?")</f>
        <v>¿?</v>
      </c>
      <c r="G65" s="307"/>
      <c r="H65" s="308" t="str">
        <f>IFERROR(VLOOKUP(AJ65,PREVAC!$AI$3:AQ241,7,FALSE),"¿?")</f>
        <v>¿?</v>
      </c>
      <c r="I65" s="308"/>
      <c r="J65" s="308"/>
      <c r="K65" s="308"/>
      <c r="L65" s="308"/>
      <c r="M65" s="308" t="str">
        <f>IFERROR(VLOOKUP(AJ65,PREVAC!$AI$3:AQ241,8,FALSE),"¿?")</f>
        <v>¿?</v>
      </c>
      <c r="N65" s="308"/>
      <c r="O65" s="308"/>
      <c r="P65" s="308"/>
      <c r="Q65" s="308"/>
      <c r="R65" s="308"/>
      <c r="S65" s="308"/>
      <c r="T65" s="308"/>
      <c r="U65" s="308"/>
      <c r="V65" s="308"/>
      <c r="W65" s="308"/>
      <c r="X65" s="308"/>
      <c r="Y65" s="308" t="str">
        <f>IFERROR(VLOOKUP(AJ65,PREVAC!$AI$3:AQ241,9,FALSE),"¿?")</f>
        <v>¿?</v>
      </c>
      <c r="Z65" s="308"/>
      <c r="AA65" s="308"/>
      <c r="AB65" s="9"/>
      <c r="AC65" s="22" t="s">
        <v>408</v>
      </c>
      <c r="AD65" s="359" t="s">
        <v>711</v>
      </c>
      <c r="AE65" s="437"/>
      <c r="AF65" s="437"/>
      <c r="AG65" s="360"/>
      <c r="AH65" s="9"/>
      <c r="AI65" s="9"/>
      <c r="AJ65" s="182" t="str">
        <f t="shared" si="2"/>
        <v>Destino-CFIT</v>
      </c>
      <c r="AQ65" s="13"/>
    </row>
    <row r="66" spans="1:43" ht="36.9" customHeight="1" x14ac:dyDescent="0.3">
      <c r="A66" s="9"/>
      <c r="B66" s="305"/>
      <c r="C66" s="187" t="s">
        <v>410</v>
      </c>
      <c r="D66" s="181" t="str">
        <f>IFERROR(VLOOKUP(AJ66,PREVAC!$AI$3:AQ242,4,FALSE),"¿?")</f>
        <v>¿?</v>
      </c>
      <c r="E66" s="181" t="str">
        <f>IFERROR(VLOOKUP(AJ66,PREVAC!$AI$3:AQ242,5,FALSE),"¿?")</f>
        <v>¿?</v>
      </c>
      <c r="F66" s="307" t="str">
        <f>IFERROR(VLOOKUP(AJ66,PREVAC!$AI$3:AQ242,6,FALSE),"¿?")</f>
        <v>¿?</v>
      </c>
      <c r="G66" s="307"/>
      <c r="H66" s="308" t="str">
        <f>IFERROR(VLOOKUP(AJ66,PREVAC!$AI$3:AQ242,7,FALSE),"¿?")</f>
        <v>¿?</v>
      </c>
      <c r="I66" s="308"/>
      <c r="J66" s="308"/>
      <c r="K66" s="308"/>
      <c r="L66" s="308"/>
      <c r="M66" s="308" t="str">
        <f>IFERROR(VLOOKUP(AJ66,PREVAC!$AI$3:AQ242,8,FALSE),"¿?")</f>
        <v>¿?</v>
      </c>
      <c r="N66" s="308"/>
      <c r="O66" s="308"/>
      <c r="P66" s="308"/>
      <c r="Q66" s="308"/>
      <c r="R66" s="308"/>
      <c r="S66" s="308"/>
      <c r="T66" s="308"/>
      <c r="U66" s="308"/>
      <c r="V66" s="308"/>
      <c r="W66" s="308"/>
      <c r="X66" s="308"/>
      <c r="Y66" s="308" t="str">
        <f>IFERROR(VLOOKUP(AJ66,PREVAC!$AI$3:AQ242,9,FALSE),"¿?")</f>
        <v>¿?</v>
      </c>
      <c r="Z66" s="308"/>
      <c r="AA66" s="308"/>
      <c r="AB66" s="9"/>
      <c r="AC66" s="419" t="s">
        <v>719</v>
      </c>
      <c r="AD66" s="628"/>
      <c r="AE66" s="628"/>
      <c r="AF66" s="628"/>
      <c r="AG66" s="629"/>
      <c r="AH66" s="9"/>
      <c r="AI66" s="9"/>
      <c r="AJ66" s="182" t="str">
        <f t="shared" si="2"/>
        <v>Destino-FOD</v>
      </c>
      <c r="AQ66" s="13"/>
    </row>
    <row r="67" spans="1:43" ht="36.9" customHeight="1" x14ac:dyDescent="0.3">
      <c r="A67" s="9"/>
      <c r="B67" s="305" t="s">
        <v>514</v>
      </c>
      <c r="C67" s="187" t="s">
        <v>412</v>
      </c>
      <c r="D67" s="181" t="str">
        <f>IFERROR(VLOOKUP(AJ67,PREVAC!$AI$3:AQ243,4,FALSE),"¿?")</f>
        <v>¿?</v>
      </c>
      <c r="E67" s="181" t="str">
        <f>IFERROR(VLOOKUP(AJ67,PREVAC!$AI$3:AQ243,5,FALSE),"¿?")</f>
        <v>¿?</v>
      </c>
      <c r="F67" s="307" t="str">
        <f>IFERROR(VLOOKUP(AJ67,PREVAC!$AI$3:AQ243,6,FALSE),"¿?")</f>
        <v>¿?</v>
      </c>
      <c r="G67" s="307"/>
      <c r="H67" s="308" t="str">
        <f>IFERROR(VLOOKUP(AJ67,PREVAC!$AI$3:AQ243,7,FALSE),"¿?")</f>
        <v>¿?</v>
      </c>
      <c r="I67" s="308"/>
      <c r="J67" s="308"/>
      <c r="K67" s="308"/>
      <c r="L67" s="308"/>
      <c r="M67" s="308" t="str">
        <f>IFERROR(VLOOKUP(AJ67,PREVAC!$AI$3:AQ243,8,FALSE),"¿?")</f>
        <v>¿?</v>
      </c>
      <c r="N67" s="308"/>
      <c r="O67" s="308"/>
      <c r="P67" s="308"/>
      <c r="Q67" s="308"/>
      <c r="R67" s="308"/>
      <c r="S67" s="308"/>
      <c r="T67" s="308"/>
      <c r="U67" s="308"/>
      <c r="V67" s="308"/>
      <c r="W67" s="308"/>
      <c r="X67" s="308"/>
      <c r="Y67" s="308" t="str">
        <f>IFERROR(VLOOKUP(AJ67,PREVAC!$AI$3:AQ243,9,FALSE),"¿?")</f>
        <v>¿?</v>
      </c>
      <c r="Z67" s="308"/>
      <c r="AA67" s="308"/>
      <c r="AB67" s="9"/>
      <c r="AC67" s="630"/>
      <c r="AD67" s="631"/>
      <c r="AE67" s="631"/>
      <c r="AF67" s="631"/>
      <c r="AG67" s="632"/>
      <c r="AH67" s="9"/>
      <c r="AI67" s="9"/>
      <c r="AJ67" s="182" t="str">
        <f t="shared" si="2"/>
        <v>Destino-RIP</v>
      </c>
      <c r="AQ67" s="13"/>
    </row>
    <row r="68" spans="1:43" ht="36.9" customHeight="1" x14ac:dyDescent="0.3">
      <c r="A68" s="9"/>
      <c r="B68" s="306"/>
      <c r="C68" s="187" t="s">
        <v>411</v>
      </c>
      <c r="D68" s="181" t="str">
        <f>IFERROR(VLOOKUP(AJ68,PREVAC!$AI$3:AQ244,4,FALSE),"¿?")</f>
        <v>¿?</v>
      </c>
      <c r="E68" s="181" t="str">
        <f>IFERROR(VLOOKUP(AJ68,PREVAC!$AI$3:AQ244,5,FALSE),"¿?")</f>
        <v>¿?</v>
      </c>
      <c r="F68" s="307" t="str">
        <f>IFERROR(VLOOKUP(AJ68,PREVAC!$AI$3:AQ244,6,FALSE),"¿?")</f>
        <v>¿?</v>
      </c>
      <c r="G68" s="307"/>
      <c r="H68" s="308" t="str">
        <f>IFERROR(VLOOKUP(AJ68,PREVAC!$AI$3:AQ244,7,FALSE),"¿?")</f>
        <v>¿?</v>
      </c>
      <c r="I68" s="308"/>
      <c r="J68" s="308"/>
      <c r="K68" s="308"/>
      <c r="L68" s="308"/>
      <c r="M68" s="308" t="str">
        <f>IFERROR(VLOOKUP(AJ68,PREVAC!$AI$3:AQ244,8,FALSE),"¿?")</f>
        <v>¿?</v>
      </c>
      <c r="N68" s="308"/>
      <c r="O68" s="308"/>
      <c r="P68" s="308"/>
      <c r="Q68" s="308"/>
      <c r="R68" s="308"/>
      <c r="S68" s="308"/>
      <c r="T68" s="308"/>
      <c r="U68" s="308"/>
      <c r="V68" s="308"/>
      <c r="W68" s="308"/>
      <c r="X68" s="308"/>
      <c r="Y68" s="308" t="str">
        <f>IFERROR(VLOOKUP(AJ68,PREVAC!$AI$3:AQ244,9,FALSE),"¿?")</f>
        <v>¿?</v>
      </c>
      <c r="Z68" s="308"/>
      <c r="AA68" s="308"/>
      <c r="AB68" s="9"/>
      <c r="AC68" s="633"/>
      <c r="AD68" s="634"/>
      <c r="AE68" s="634"/>
      <c r="AF68" s="634"/>
      <c r="AG68" s="635"/>
      <c r="AH68" s="9"/>
      <c r="AI68" s="9"/>
      <c r="AJ68" s="182" t="str">
        <f t="shared" si="2"/>
        <v>Destino-ALAR</v>
      </c>
      <c r="AQ68" s="13"/>
    </row>
    <row r="69" spans="1:43" ht="36.9" customHeight="1" x14ac:dyDescent="0.3">
      <c r="A69" s="9"/>
      <c r="B69" s="310"/>
      <c r="C69" s="310"/>
      <c r="D69" s="310"/>
      <c r="E69" s="310"/>
      <c r="F69" s="310"/>
      <c r="G69" s="310"/>
      <c r="H69" s="310"/>
      <c r="I69" s="310"/>
      <c r="J69" s="310"/>
      <c r="K69" s="310"/>
      <c r="L69" s="310"/>
      <c r="M69" s="310"/>
      <c r="N69" s="310"/>
      <c r="O69" s="310"/>
      <c r="P69" s="310"/>
      <c r="Q69" s="310"/>
      <c r="R69" s="310"/>
      <c r="S69" s="310"/>
      <c r="T69" s="310"/>
      <c r="U69" s="310"/>
      <c r="V69" s="310"/>
      <c r="W69" s="310"/>
      <c r="X69" s="310"/>
      <c r="Y69" s="310"/>
      <c r="Z69" s="310"/>
      <c r="AA69" s="310"/>
      <c r="AB69" s="9"/>
      <c r="AC69" s="188" t="s">
        <v>409</v>
      </c>
      <c r="AD69" s="438" t="s">
        <v>712</v>
      </c>
      <c r="AE69" s="439"/>
      <c r="AF69" s="439"/>
      <c r="AG69" s="440"/>
      <c r="AH69" s="9"/>
      <c r="AI69" s="9"/>
      <c r="AJ69" s="182"/>
      <c r="AQ69" s="13"/>
    </row>
    <row r="70" spans="1:43" ht="36.9" customHeight="1" x14ac:dyDescent="0.3">
      <c r="A70" s="9"/>
      <c r="B70" s="311" t="str">
        <f>Q29</f>
        <v>⦿</v>
      </c>
      <c r="C70" s="186" t="s">
        <v>406</v>
      </c>
      <c r="D70" s="181" t="str">
        <f>IFERROR(VLOOKUP(AJ70,PREVAC!$AI$3:AQ246,4,FALSE),"¿?")</f>
        <v>¿?</v>
      </c>
      <c r="E70" s="181" t="str">
        <f>IFERROR(VLOOKUP(AJ70,PREVAC!$AI$3:AQ246,5,FALSE),"¿?")</f>
        <v>¿?</v>
      </c>
      <c r="F70" s="307" t="str">
        <f>IFERROR(VLOOKUP(AJ70,PREVAC!$AI$3:AQ246,6,FALSE),"¿?")</f>
        <v>¿?</v>
      </c>
      <c r="G70" s="307"/>
      <c r="H70" s="308" t="str">
        <f>IFERROR(VLOOKUP(AJ70,PREVAC!$AI$3:AQ246,7,FALSE),"¿?")</f>
        <v>¿?</v>
      </c>
      <c r="I70" s="308"/>
      <c r="J70" s="308"/>
      <c r="K70" s="308"/>
      <c r="L70" s="308"/>
      <c r="M70" s="308" t="str">
        <f>IFERROR(VLOOKUP(AJ70,PREVAC!$AI$3:AQ246,8,FALSE),"¿?")</f>
        <v>¿?</v>
      </c>
      <c r="N70" s="308"/>
      <c r="O70" s="308"/>
      <c r="P70" s="308"/>
      <c r="Q70" s="308"/>
      <c r="R70" s="308"/>
      <c r="S70" s="308"/>
      <c r="T70" s="308"/>
      <c r="U70" s="308"/>
      <c r="V70" s="308"/>
      <c r="W70" s="308"/>
      <c r="X70" s="308"/>
      <c r="Y70" s="308" t="str">
        <f>IFERROR(VLOOKUP(AJ70,PREVAC!$AI$3:AQ246,9,FALSE),"¿?")</f>
        <v>¿?</v>
      </c>
      <c r="Z70" s="308"/>
      <c r="AA70" s="308"/>
      <c r="AB70" s="9"/>
      <c r="AC70" s="419" t="s">
        <v>720</v>
      </c>
      <c r="AD70" s="628"/>
      <c r="AE70" s="628"/>
      <c r="AF70" s="628"/>
      <c r="AG70" s="629"/>
      <c r="AH70" s="9"/>
      <c r="AI70" s="9"/>
      <c r="AJ70" s="182" t="str">
        <f t="shared" ref="AJ70:AJ76" si="3">CONCATENATE($B$72,"-",C70)</f>
        <v>Alterno 1-MACA</v>
      </c>
      <c r="AQ70" s="13"/>
    </row>
    <row r="71" spans="1:43" ht="36.9" customHeight="1" x14ac:dyDescent="0.3">
      <c r="A71" s="9"/>
      <c r="B71" s="312"/>
      <c r="C71" s="186" t="s">
        <v>407</v>
      </c>
      <c r="D71" s="181" t="str">
        <f>IFERROR(VLOOKUP(AJ71,PREVAC!$AI$3:AQ247,4,FALSE),"¿?")</f>
        <v>¿?</v>
      </c>
      <c r="E71" s="181" t="str">
        <f>IFERROR(VLOOKUP(AJ71,PREVAC!$AI$3:AQ247,5,FALSE),"¿?")</f>
        <v>¿?</v>
      </c>
      <c r="F71" s="307" t="str">
        <f>IFERROR(VLOOKUP(AJ71,PREVAC!$AI$3:AQ247,6,FALSE),"¿?")</f>
        <v>¿?</v>
      </c>
      <c r="G71" s="307"/>
      <c r="H71" s="308" t="str">
        <f>IFERROR(VLOOKUP(AJ71,PREVAC!$AI$3:AQ247,7,FALSE),"¿?")</f>
        <v>¿?</v>
      </c>
      <c r="I71" s="308"/>
      <c r="J71" s="308"/>
      <c r="K71" s="308"/>
      <c r="L71" s="308"/>
      <c r="M71" s="308" t="str">
        <f>IFERROR(VLOOKUP(AJ71,PREVAC!$AI$3:AQ247,8,FALSE),"¿?")</f>
        <v>¿?</v>
      </c>
      <c r="N71" s="308"/>
      <c r="O71" s="308"/>
      <c r="P71" s="308"/>
      <c r="Q71" s="308"/>
      <c r="R71" s="308"/>
      <c r="S71" s="308"/>
      <c r="T71" s="308"/>
      <c r="U71" s="308"/>
      <c r="V71" s="308"/>
      <c r="W71" s="308"/>
      <c r="X71" s="308"/>
      <c r="Y71" s="308" t="str">
        <f>IFERROR(VLOOKUP(AJ71,PREVAC!$AI$3:AQ247,9,FALSE),"¿?")</f>
        <v>¿?</v>
      </c>
      <c r="Z71" s="308"/>
      <c r="AA71" s="308"/>
      <c r="AB71" s="9"/>
      <c r="AC71" s="630"/>
      <c r="AD71" s="631"/>
      <c r="AE71" s="631"/>
      <c r="AF71" s="631"/>
      <c r="AG71" s="632"/>
      <c r="AH71" s="9"/>
      <c r="AI71" s="9"/>
      <c r="AJ71" s="182" t="str">
        <f t="shared" si="3"/>
        <v>Alterno 1-BASH</v>
      </c>
      <c r="AQ71" s="13"/>
    </row>
    <row r="72" spans="1:43" ht="36.9" customHeight="1" x14ac:dyDescent="0.3">
      <c r="A72" s="9"/>
      <c r="B72" s="309" t="str">
        <f>IF(L8=0,"Alterno 1",L8)</f>
        <v>Alterno 1</v>
      </c>
      <c r="C72" s="186" t="s">
        <v>408</v>
      </c>
      <c r="D72" s="181" t="str">
        <f>IFERROR(VLOOKUP(AJ72,PREVAC!$AI$3:AQ248,4,FALSE),"¿?")</f>
        <v>¿?</v>
      </c>
      <c r="E72" s="181" t="str">
        <f>IFERROR(VLOOKUP(AJ72,PREVAC!$AI$3:AQ248,5,FALSE),"¿?")</f>
        <v>¿?</v>
      </c>
      <c r="F72" s="307" t="str">
        <f>IFERROR(VLOOKUP(AJ72,PREVAC!$AI$3:AQ248,6,FALSE),"¿?")</f>
        <v>¿?</v>
      </c>
      <c r="G72" s="307"/>
      <c r="H72" s="308" t="str">
        <f>IFERROR(VLOOKUP(AJ72,PREVAC!$AI$3:AQ248,7,FALSE),"¿?")</f>
        <v>¿?</v>
      </c>
      <c r="I72" s="308"/>
      <c r="J72" s="308"/>
      <c r="K72" s="308"/>
      <c r="L72" s="308"/>
      <c r="M72" s="308" t="str">
        <f>IFERROR(VLOOKUP(AJ72,PREVAC!$AI$3:AQ248,8,FALSE),"¿?")</f>
        <v>¿?</v>
      </c>
      <c r="N72" s="308"/>
      <c r="O72" s="308"/>
      <c r="P72" s="308"/>
      <c r="Q72" s="308"/>
      <c r="R72" s="308"/>
      <c r="S72" s="308"/>
      <c r="T72" s="308"/>
      <c r="U72" s="308"/>
      <c r="V72" s="308"/>
      <c r="W72" s="308"/>
      <c r="X72" s="308"/>
      <c r="Y72" s="308" t="str">
        <f>IFERROR(VLOOKUP(AJ72,PREVAC!$AI$3:AQ248,9,FALSE),"¿?")</f>
        <v>¿?</v>
      </c>
      <c r="Z72" s="308"/>
      <c r="AA72" s="308"/>
      <c r="AB72" s="9"/>
      <c r="AC72" s="633"/>
      <c r="AD72" s="634"/>
      <c r="AE72" s="634"/>
      <c r="AF72" s="634"/>
      <c r="AG72" s="635"/>
      <c r="AH72" s="9"/>
      <c r="AI72" s="9"/>
      <c r="AJ72" s="182" t="str">
        <f t="shared" si="3"/>
        <v>Alterno 1-GAP</v>
      </c>
      <c r="AQ72" s="13"/>
    </row>
    <row r="73" spans="1:43" ht="36.9" customHeight="1" x14ac:dyDescent="0.3">
      <c r="A73" s="9"/>
      <c r="B73" s="305"/>
      <c r="C73" s="187" t="s">
        <v>409</v>
      </c>
      <c r="D73" s="181" t="str">
        <f>IFERROR(VLOOKUP(AJ73,PREVAC!$AI$3:AQ249,4,FALSE),"¿?")</f>
        <v>¿?</v>
      </c>
      <c r="E73" s="181" t="str">
        <f>IFERROR(VLOOKUP(AJ73,PREVAC!$AI$3:AQ249,5,FALSE),"¿?")</f>
        <v>¿?</v>
      </c>
      <c r="F73" s="307" t="str">
        <f>IFERROR(VLOOKUP(AJ73,PREVAC!$AI$3:AQ249,6,FALSE),"¿?")</f>
        <v>¿?</v>
      </c>
      <c r="G73" s="307"/>
      <c r="H73" s="308" t="str">
        <f>IFERROR(VLOOKUP(AJ73,PREVAC!$AI$3:AQ249,7,FALSE),"¿?")</f>
        <v>¿?</v>
      </c>
      <c r="I73" s="308"/>
      <c r="J73" s="308"/>
      <c r="K73" s="308"/>
      <c r="L73" s="308"/>
      <c r="M73" s="308" t="str">
        <f>IFERROR(VLOOKUP(AJ73,PREVAC!$AI$3:AQ249,8,FALSE),"¿?")</f>
        <v>¿?</v>
      </c>
      <c r="N73" s="308"/>
      <c r="O73" s="308"/>
      <c r="P73" s="308"/>
      <c r="Q73" s="308"/>
      <c r="R73" s="308"/>
      <c r="S73" s="308"/>
      <c r="T73" s="308"/>
      <c r="U73" s="308"/>
      <c r="V73" s="308"/>
      <c r="W73" s="308"/>
      <c r="X73" s="308"/>
      <c r="Y73" s="308" t="str">
        <f>IFERROR(VLOOKUP(AJ73,PREVAC!$AI$3:AQ249,9,FALSE),"¿?")</f>
        <v>¿?</v>
      </c>
      <c r="Z73" s="308"/>
      <c r="AA73" s="308"/>
      <c r="AB73" s="9"/>
      <c r="AC73" s="188" t="s">
        <v>410</v>
      </c>
      <c r="AD73" s="438" t="s">
        <v>713</v>
      </c>
      <c r="AE73" s="439"/>
      <c r="AF73" s="439"/>
      <c r="AG73" s="440"/>
      <c r="AH73" s="9"/>
      <c r="AI73" s="9"/>
      <c r="AJ73" s="182" t="str">
        <f t="shared" si="3"/>
        <v>Alterno 1-CFIT</v>
      </c>
      <c r="AQ73" s="13"/>
    </row>
    <row r="74" spans="1:43" ht="36.9" customHeight="1" x14ac:dyDescent="0.3">
      <c r="A74" s="9"/>
      <c r="B74" s="305"/>
      <c r="C74" s="187" t="s">
        <v>410</v>
      </c>
      <c r="D74" s="181" t="str">
        <f>IFERROR(VLOOKUP(AJ74,PREVAC!$AI$3:AQ250,4,FALSE),"¿?")</f>
        <v>¿?</v>
      </c>
      <c r="E74" s="181" t="str">
        <f>IFERROR(VLOOKUP(AJ74,PREVAC!$AI$3:AQ250,5,FALSE),"¿?")</f>
        <v>¿?</v>
      </c>
      <c r="F74" s="307" t="str">
        <f>IFERROR(VLOOKUP(AJ74,PREVAC!$AI$3:AQ250,6,FALSE),"¿?")</f>
        <v>¿?</v>
      </c>
      <c r="G74" s="307"/>
      <c r="H74" s="308" t="str">
        <f>IFERROR(VLOOKUP(AJ74,PREVAC!$AI$3:AQ250,7,FALSE),"¿?")</f>
        <v>¿?</v>
      </c>
      <c r="I74" s="308"/>
      <c r="J74" s="308"/>
      <c r="K74" s="308"/>
      <c r="L74" s="308"/>
      <c r="M74" s="308" t="str">
        <f>IFERROR(VLOOKUP(AJ74,PREVAC!$AI$3:AQ250,8,FALSE),"¿?")</f>
        <v>¿?</v>
      </c>
      <c r="N74" s="308"/>
      <c r="O74" s="308"/>
      <c r="P74" s="308"/>
      <c r="Q74" s="308"/>
      <c r="R74" s="308"/>
      <c r="S74" s="308"/>
      <c r="T74" s="308"/>
      <c r="U74" s="308"/>
      <c r="V74" s="308"/>
      <c r="W74" s="308"/>
      <c r="X74" s="308"/>
      <c r="Y74" s="308" t="str">
        <f>IFERROR(VLOOKUP(AJ74,PREVAC!$AI$3:AQ250,9,FALSE),"¿?")</f>
        <v>¿?</v>
      </c>
      <c r="Z74" s="308"/>
      <c r="AA74" s="308"/>
      <c r="AB74" s="9"/>
      <c r="AC74" s="419" t="s">
        <v>721</v>
      </c>
      <c r="AD74" s="628"/>
      <c r="AE74" s="628"/>
      <c r="AF74" s="628"/>
      <c r="AG74" s="629"/>
      <c r="AH74" s="9"/>
      <c r="AI74" s="9"/>
      <c r="AJ74" s="182" t="str">
        <f t="shared" si="3"/>
        <v>Alterno 1-FOD</v>
      </c>
      <c r="AQ74" s="13"/>
    </row>
    <row r="75" spans="1:43" ht="36.9" customHeight="1" x14ac:dyDescent="0.3">
      <c r="A75" s="9"/>
      <c r="B75" s="305" t="s">
        <v>515</v>
      </c>
      <c r="C75" s="187" t="s">
        <v>412</v>
      </c>
      <c r="D75" s="181" t="str">
        <f>IFERROR(VLOOKUP(AJ75,PREVAC!$AI$3:AQ251,4,FALSE),"¿?")</f>
        <v>¿?</v>
      </c>
      <c r="E75" s="181" t="str">
        <f>IFERROR(VLOOKUP(AJ75,PREVAC!$AI$3:AQ251,5,FALSE),"¿?")</f>
        <v>¿?</v>
      </c>
      <c r="F75" s="307" t="str">
        <f>IFERROR(VLOOKUP(AJ75,PREVAC!$AI$3:AQ251,6,FALSE),"¿?")</f>
        <v>¿?</v>
      </c>
      <c r="G75" s="307"/>
      <c r="H75" s="308" t="str">
        <f>IFERROR(VLOOKUP(AJ75,PREVAC!$AI$3:AQ251,7,FALSE),"¿?")</f>
        <v>¿?</v>
      </c>
      <c r="I75" s="308"/>
      <c r="J75" s="308"/>
      <c r="K75" s="308"/>
      <c r="L75" s="308"/>
      <c r="M75" s="308" t="str">
        <f>IFERROR(VLOOKUP(AJ75,PREVAC!$AI$3:AQ251,8,FALSE),"¿?")</f>
        <v>¿?</v>
      </c>
      <c r="N75" s="308"/>
      <c r="O75" s="308"/>
      <c r="P75" s="308"/>
      <c r="Q75" s="308"/>
      <c r="R75" s="308"/>
      <c r="S75" s="308"/>
      <c r="T75" s="308"/>
      <c r="U75" s="308"/>
      <c r="V75" s="308"/>
      <c r="W75" s="308"/>
      <c r="X75" s="308"/>
      <c r="Y75" s="308" t="str">
        <f>IFERROR(VLOOKUP(AJ75,PREVAC!$AI$3:AQ251,9,FALSE),"¿?")</f>
        <v>¿?</v>
      </c>
      <c r="Z75" s="308"/>
      <c r="AA75" s="308"/>
      <c r="AB75" s="9"/>
      <c r="AC75" s="630"/>
      <c r="AD75" s="631"/>
      <c r="AE75" s="631"/>
      <c r="AF75" s="631"/>
      <c r="AG75" s="632"/>
      <c r="AH75" s="9"/>
      <c r="AI75" s="9"/>
      <c r="AJ75" s="182" t="str">
        <f t="shared" si="3"/>
        <v>Alterno 1-RIP</v>
      </c>
      <c r="AQ75" s="13"/>
    </row>
    <row r="76" spans="1:43" ht="36.9" customHeight="1" x14ac:dyDescent="0.3">
      <c r="A76" s="9"/>
      <c r="B76" s="306"/>
      <c r="C76" s="187" t="s">
        <v>411</v>
      </c>
      <c r="D76" s="181" t="str">
        <f>IFERROR(VLOOKUP(AJ76,PREVAC!$AI$3:AQ252,4,FALSE),"¿?")</f>
        <v>¿?</v>
      </c>
      <c r="E76" s="181" t="str">
        <f>IFERROR(VLOOKUP(AJ76,PREVAC!$AI$3:AQ252,5,FALSE),"¿?")</f>
        <v>¿?</v>
      </c>
      <c r="F76" s="307" t="str">
        <f>IFERROR(VLOOKUP(AJ76,PREVAC!$AI$3:AQ252,6,FALSE),"¿?")</f>
        <v>¿?</v>
      </c>
      <c r="G76" s="307"/>
      <c r="H76" s="308" t="str">
        <f>IFERROR(VLOOKUP(AJ76,PREVAC!$AI$3:AQ252,7,FALSE),"¿?")</f>
        <v>¿?</v>
      </c>
      <c r="I76" s="308"/>
      <c r="J76" s="308"/>
      <c r="K76" s="308"/>
      <c r="L76" s="308"/>
      <c r="M76" s="308" t="str">
        <f>IFERROR(VLOOKUP(AJ76,PREVAC!$AI$3:AQ252,8,FALSE),"¿?")</f>
        <v>¿?</v>
      </c>
      <c r="N76" s="308"/>
      <c r="O76" s="308"/>
      <c r="P76" s="308"/>
      <c r="Q76" s="308"/>
      <c r="R76" s="308"/>
      <c r="S76" s="308"/>
      <c r="T76" s="308"/>
      <c r="U76" s="308"/>
      <c r="V76" s="308"/>
      <c r="W76" s="308"/>
      <c r="X76" s="308"/>
      <c r="Y76" s="308" t="str">
        <f>IFERROR(VLOOKUP(AJ76,PREVAC!$AI$3:AQ252,9,FALSE),"¿?")</f>
        <v>¿?</v>
      </c>
      <c r="Z76" s="308"/>
      <c r="AA76" s="308"/>
      <c r="AB76" s="9"/>
      <c r="AC76" s="633"/>
      <c r="AD76" s="634"/>
      <c r="AE76" s="634"/>
      <c r="AF76" s="634"/>
      <c r="AG76" s="635"/>
      <c r="AH76" s="9"/>
      <c r="AI76" s="9"/>
      <c r="AJ76" s="182" t="str">
        <f t="shared" si="3"/>
        <v>Alterno 1-ALAR</v>
      </c>
      <c r="AQ76" s="13"/>
    </row>
    <row r="77" spans="1:43" ht="36.9" customHeight="1" x14ac:dyDescent="0.3">
      <c r="A77" s="9"/>
      <c r="B77" s="310"/>
      <c r="C77" s="310"/>
      <c r="D77" s="310"/>
      <c r="E77" s="310"/>
      <c r="F77" s="310"/>
      <c r="G77" s="310"/>
      <c r="H77" s="310"/>
      <c r="I77" s="310"/>
      <c r="J77" s="310"/>
      <c r="K77" s="310"/>
      <c r="L77" s="310"/>
      <c r="M77" s="310"/>
      <c r="N77" s="310"/>
      <c r="O77" s="310"/>
      <c r="P77" s="310"/>
      <c r="Q77" s="310"/>
      <c r="R77" s="310"/>
      <c r="S77" s="310"/>
      <c r="T77" s="310"/>
      <c r="U77" s="310"/>
      <c r="V77" s="310"/>
      <c r="W77" s="310"/>
      <c r="X77" s="310"/>
      <c r="Y77" s="310"/>
      <c r="Z77" s="310"/>
      <c r="AA77" s="310"/>
      <c r="AB77" s="9"/>
      <c r="AC77" s="188" t="s">
        <v>412</v>
      </c>
      <c r="AD77" s="438" t="s">
        <v>714</v>
      </c>
      <c r="AE77" s="439"/>
      <c r="AF77" s="439"/>
      <c r="AG77" s="440"/>
      <c r="AH77" s="9"/>
      <c r="AI77" s="9"/>
      <c r="AJ77" s="182"/>
      <c r="AQ77" s="13"/>
    </row>
    <row r="78" spans="1:43" ht="36.9" customHeight="1" x14ac:dyDescent="0.3">
      <c r="A78" s="9"/>
      <c r="B78" s="311" t="str">
        <f>R29</f>
        <v>⦿</v>
      </c>
      <c r="C78" s="189" t="s">
        <v>406</v>
      </c>
      <c r="D78" s="181" t="str">
        <f>IFERROR(VLOOKUP(AJ78,PREVAC!$AI$3:AQ254,4,FALSE),"¿?")</f>
        <v>¿?</v>
      </c>
      <c r="E78" s="181" t="str">
        <f>IFERROR(VLOOKUP(AJ78,PREVAC!$AI$3:AQ254,5,FALSE),"¿?")</f>
        <v>¿?</v>
      </c>
      <c r="F78" s="307" t="str">
        <f>IFERROR(VLOOKUP(AJ78,PREVAC!$AI$3:AQ254,6,FALSE),"¿?")</f>
        <v>¿?</v>
      </c>
      <c r="G78" s="307"/>
      <c r="H78" s="308" t="str">
        <f>IFERROR(VLOOKUP(AJ78,PREVAC!$AI$3:AQ254,7,FALSE),"¿?")</f>
        <v>¿?</v>
      </c>
      <c r="I78" s="308"/>
      <c r="J78" s="308"/>
      <c r="K78" s="308"/>
      <c r="L78" s="308"/>
      <c r="M78" s="308" t="str">
        <f>IFERROR(VLOOKUP(AJ78,PREVAC!$AI$3:AQ254,8,FALSE),"¿?")</f>
        <v>¿?</v>
      </c>
      <c r="N78" s="308"/>
      <c r="O78" s="308"/>
      <c r="P78" s="308"/>
      <c r="Q78" s="308"/>
      <c r="R78" s="308"/>
      <c r="S78" s="308"/>
      <c r="T78" s="308"/>
      <c r="U78" s="308"/>
      <c r="V78" s="308"/>
      <c r="W78" s="308"/>
      <c r="X78" s="308"/>
      <c r="Y78" s="308" t="str">
        <f>IFERROR(VLOOKUP(AJ78,PREVAC!$AI$3:AQ254,9,FALSE),"¿?")</f>
        <v>¿?</v>
      </c>
      <c r="Z78" s="308"/>
      <c r="AA78" s="308"/>
      <c r="AB78" s="9"/>
      <c r="AC78" s="419" t="s">
        <v>722</v>
      </c>
      <c r="AD78" s="628"/>
      <c r="AE78" s="628"/>
      <c r="AF78" s="628"/>
      <c r="AG78" s="629"/>
      <c r="AH78" s="9"/>
      <c r="AI78" s="9"/>
      <c r="AJ78" s="182" t="str">
        <f t="shared" ref="AJ78:AJ84" si="4">CONCATENATE($B$80,"-",C78)</f>
        <v>Alterno 2-MACA</v>
      </c>
      <c r="AQ78" s="13"/>
    </row>
    <row r="79" spans="1:43" ht="36.9" customHeight="1" x14ac:dyDescent="0.3">
      <c r="A79" s="9"/>
      <c r="B79" s="312"/>
      <c r="C79" s="189" t="s">
        <v>407</v>
      </c>
      <c r="D79" s="181" t="str">
        <f>IFERROR(VLOOKUP(AJ79,PREVAC!$AI$3:AQ255,4,FALSE),"¿?")</f>
        <v>¿?</v>
      </c>
      <c r="E79" s="181" t="str">
        <f>IFERROR(VLOOKUP(AJ79,PREVAC!$AI$3:AQ255,5,FALSE),"¿?")</f>
        <v>¿?</v>
      </c>
      <c r="F79" s="307" t="str">
        <f>IFERROR(VLOOKUP(AJ79,PREVAC!$AI$3:AQ255,6,FALSE),"¿?")</f>
        <v>¿?</v>
      </c>
      <c r="G79" s="307"/>
      <c r="H79" s="308" t="str">
        <f>IFERROR(VLOOKUP(AJ79,PREVAC!$AI$3:AQ255,7,FALSE),"¿?")</f>
        <v>¿?</v>
      </c>
      <c r="I79" s="308"/>
      <c r="J79" s="308"/>
      <c r="K79" s="308"/>
      <c r="L79" s="308"/>
      <c r="M79" s="308" t="str">
        <f>IFERROR(VLOOKUP(AJ79,PREVAC!$AI$3:AQ255,8,FALSE),"¿?")</f>
        <v>¿?</v>
      </c>
      <c r="N79" s="308"/>
      <c r="O79" s="308"/>
      <c r="P79" s="308"/>
      <c r="Q79" s="308"/>
      <c r="R79" s="308"/>
      <c r="S79" s="308"/>
      <c r="T79" s="308"/>
      <c r="U79" s="308"/>
      <c r="V79" s="308"/>
      <c r="W79" s="308"/>
      <c r="X79" s="308"/>
      <c r="Y79" s="308" t="str">
        <f>IFERROR(VLOOKUP(AJ79,PREVAC!$AI$3:AQ255,9,FALSE),"¿?")</f>
        <v>¿?</v>
      </c>
      <c r="Z79" s="308"/>
      <c r="AA79" s="308"/>
      <c r="AB79" s="9"/>
      <c r="AC79" s="630"/>
      <c r="AD79" s="631"/>
      <c r="AE79" s="631"/>
      <c r="AF79" s="631"/>
      <c r="AG79" s="632"/>
      <c r="AH79" s="9"/>
      <c r="AI79" s="9"/>
      <c r="AJ79" s="182" t="str">
        <f t="shared" si="4"/>
        <v>Alterno 2-BASH</v>
      </c>
      <c r="AQ79" s="13"/>
    </row>
    <row r="80" spans="1:43" ht="36.9" customHeight="1" x14ac:dyDescent="0.3">
      <c r="A80" s="9"/>
      <c r="B80" s="309" t="str">
        <f>IF(L9=0,"Alterno 2",L9)</f>
        <v>Alterno 2</v>
      </c>
      <c r="C80" s="189" t="s">
        <v>408</v>
      </c>
      <c r="D80" s="181" t="str">
        <f>IFERROR(VLOOKUP(AJ80,PREVAC!$AI$3:AQ256,4,FALSE),"¿?")</f>
        <v>¿?</v>
      </c>
      <c r="E80" s="181" t="str">
        <f>IFERROR(VLOOKUP(AJ80,PREVAC!$AI$3:AQ256,5,FALSE),"¿?")</f>
        <v>¿?</v>
      </c>
      <c r="F80" s="307" t="str">
        <f>IFERROR(VLOOKUP(AJ80,PREVAC!$AI$3:AQ256,6,FALSE),"¿?")</f>
        <v>¿?</v>
      </c>
      <c r="G80" s="307"/>
      <c r="H80" s="308" t="str">
        <f>IFERROR(VLOOKUP(AJ80,PREVAC!$AI$3:AQ256,7,FALSE),"¿?")</f>
        <v>¿?</v>
      </c>
      <c r="I80" s="308"/>
      <c r="J80" s="308"/>
      <c r="K80" s="308"/>
      <c r="L80" s="308"/>
      <c r="M80" s="308" t="str">
        <f>IFERROR(VLOOKUP(AJ80,PREVAC!$AI$3:AQ256,8,FALSE),"¿?")</f>
        <v>¿?</v>
      </c>
      <c r="N80" s="308"/>
      <c r="O80" s="308"/>
      <c r="P80" s="308"/>
      <c r="Q80" s="308"/>
      <c r="R80" s="308"/>
      <c r="S80" s="308"/>
      <c r="T80" s="308"/>
      <c r="U80" s="308"/>
      <c r="V80" s="308"/>
      <c r="W80" s="308"/>
      <c r="X80" s="308"/>
      <c r="Y80" s="308" t="str">
        <f>IFERROR(VLOOKUP(AJ80,PREVAC!$AI$3:AQ256,9,FALSE),"¿?")</f>
        <v>¿?</v>
      </c>
      <c r="Z80" s="308"/>
      <c r="AA80" s="308"/>
      <c r="AB80" s="9"/>
      <c r="AC80" s="633"/>
      <c r="AD80" s="634"/>
      <c r="AE80" s="634"/>
      <c r="AF80" s="634"/>
      <c r="AG80" s="635"/>
      <c r="AH80" s="9"/>
      <c r="AI80" s="9"/>
      <c r="AJ80" s="182" t="str">
        <f t="shared" si="4"/>
        <v>Alterno 2-GAP</v>
      </c>
      <c r="AQ80" s="13"/>
    </row>
    <row r="81" spans="1:43" ht="36.9" customHeight="1" x14ac:dyDescent="0.3">
      <c r="A81" s="9"/>
      <c r="B81" s="305"/>
      <c r="C81" s="190" t="s">
        <v>409</v>
      </c>
      <c r="D81" s="181" t="str">
        <f>IFERROR(VLOOKUP(AJ81,PREVAC!$AI$3:AQ257,4,FALSE),"¿?")</f>
        <v>¿?</v>
      </c>
      <c r="E81" s="181" t="str">
        <f>IFERROR(VLOOKUP(AJ81,PREVAC!$AI$3:AQ257,5,FALSE),"¿?")</f>
        <v>¿?</v>
      </c>
      <c r="F81" s="307" t="str">
        <f>IFERROR(VLOOKUP(AJ81,PREVAC!$AI$3:AQ257,6,FALSE),"¿?")</f>
        <v>¿?</v>
      </c>
      <c r="G81" s="307"/>
      <c r="H81" s="308" t="str">
        <f>IFERROR(VLOOKUP(AJ81,PREVAC!$AI$3:AQ257,7,FALSE),"¿?")</f>
        <v>¿?</v>
      </c>
      <c r="I81" s="308"/>
      <c r="J81" s="308"/>
      <c r="K81" s="308"/>
      <c r="L81" s="308"/>
      <c r="M81" s="308" t="str">
        <f>IFERROR(VLOOKUP(AJ81,PREVAC!$AI$3:AQ257,8,FALSE),"¿?")</f>
        <v>¿?</v>
      </c>
      <c r="N81" s="308"/>
      <c r="O81" s="308"/>
      <c r="P81" s="308"/>
      <c r="Q81" s="308"/>
      <c r="R81" s="308"/>
      <c r="S81" s="308"/>
      <c r="T81" s="308"/>
      <c r="U81" s="308"/>
      <c r="V81" s="308"/>
      <c r="W81" s="308"/>
      <c r="X81" s="308"/>
      <c r="Y81" s="308" t="str">
        <f>IFERROR(VLOOKUP(AJ81,PREVAC!$AI$3:AQ257,9,FALSE),"¿?")</f>
        <v>¿?</v>
      </c>
      <c r="Z81" s="308"/>
      <c r="AA81" s="308"/>
      <c r="AB81" s="9"/>
      <c r="AC81" s="188" t="s">
        <v>411</v>
      </c>
      <c r="AD81" s="438" t="s">
        <v>715</v>
      </c>
      <c r="AE81" s="439"/>
      <c r="AF81" s="439"/>
      <c r="AG81" s="440"/>
      <c r="AH81" s="9"/>
      <c r="AI81" s="9"/>
      <c r="AJ81" s="182" t="str">
        <f t="shared" si="4"/>
        <v>Alterno 2-CFIT</v>
      </c>
      <c r="AQ81" s="13"/>
    </row>
    <row r="82" spans="1:43" ht="36.9" customHeight="1" x14ac:dyDescent="0.3">
      <c r="A82" s="9"/>
      <c r="B82" s="305"/>
      <c r="C82" s="190" t="s">
        <v>410</v>
      </c>
      <c r="D82" s="181" t="str">
        <f>IFERROR(VLOOKUP(AJ82,PREVAC!$AI$3:AQ258,4,FALSE),"¿?")</f>
        <v>¿?</v>
      </c>
      <c r="E82" s="181" t="str">
        <f>IFERROR(VLOOKUP(AJ82,PREVAC!$AI$3:AQ258,5,FALSE),"¿?")</f>
        <v>¿?</v>
      </c>
      <c r="F82" s="307" t="str">
        <f>IFERROR(VLOOKUP(AJ82,PREVAC!$AI$3:AQ258,6,FALSE),"¿?")</f>
        <v>¿?</v>
      </c>
      <c r="G82" s="307"/>
      <c r="H82" s="308" t="str">
        <f>IFERROR(VLOOKUP(AJ82,PREVAC!$AI$3:AQ258,7,FALSE),"¿?")</f>
        <v>¿?</v>
      </c>
      <c r="I82" s="308"/>
      <c r="J82" s="308"/>
      <c r="K82" s="308"/>
      <c r="L82" s="308"/>
      <c r="M82" s="308" t="str">
        <f>IFERROR(VLOOKUP(AJ82,PREVAC!$AI$3:AQ258,8,FALSE),"¿?")</f>
        <v>¿?</v>
      </c>
      <c r="N82" s="308"/>
      <c r="O82" s="308"/>
      <c r="P82" s="308"/>
      <c r="Q82" s="308"/>
      <c r="R82" s="308"/>
      <c r="S82" s="308"/>
      <c r="T82" s="308"/>
      <c r="U82" s="308"/>
      <c r="V82" s="308"/>
      <c r="W82" s="308"/>
      <c r="X82" s="308"/>
      <c r="Y82" s="308" t="str">
        <f>IFERROR(VLOOKUP(AJ82,PREVAC!$AI$3:AQ258,9,FALSE),"¿?")</f>
        <v>¿?</v>
      </c>
      <c r="Z82" s="308"/>
      <c r="AA82" s="308"/>
      <c r="AB82" s="9"/>
      <c r="AC82" s="419" t="s">
        <v>723</v>
      </c>
      <c r="AD82" s="628"/>
      <c r="AE82" s="628"/>
      <c r="AF82" s="628"/>
      <c r="AG82" s="629"/>
      <c r="AH82" s="9"/>
      <c r="AI82" s="9"/>
      <c r="AJ82" s="182" t="str">
        <f t="shared" si="4"/>
        <v>Alterno 2-FOD</v>
      </c>
      <c r="AQ82" s="13"/>
    </row>
    <row r="83" spans="1:43" ht="36.9" customHeight="1" x14ac:dyDescent="0.3">
      <c r="A83" s="9"/>
      <c r="B83" s="305" t="s">
        <v>516</v>
      </c>
      <c r="C83" s="190" t="s">
        <v>412</v>
      </c>
      <c r="D83" s="181" t="str">
        <f>IFERROR(VLOOKUP(AJ83,PREVAC!$AI$3:AQ259,4,FALSE),"¿?")</f>
        <v>¿?</v>
      </c>
      <c r="E83" s="181" t="str">
        <f>IFERROR(VLOOKUP(AJ83,PREVAC!$AI$3:AQ259,5,FALSE),"¿?")</f>
        <v>¿?</v>
      </c>
      <c r="F83" s="307" t="str">
        <f>IFERROR(VLOOKUP(AJ83,PREVAC!$AI$3:AQ259,6,FALSE),"¿?")</f>
        <v>¿?</v>
      </c>
      <c r="G83" s="307"/>
      <c r="H83" s="308" t="str">
        <f>IFERROR(VLOOKUP(AJ83,PREVAC!$AI$3:AQ259,7,FALSE),"¿?")</f>
        <v>¿?</v>
      </c>
      <c r="I83" s="308"/>
      <c r="J83" s="308"/>
      <c r="K83" s="308"/>
      <c r="L83" s="308"/>
      <c r="M83" s="308" t="str">
        <f>IFERROR(VLOOKUP(AJ83,PREVAC!$AI$3:AQ259,8,FALSE),"¿?")</f>
        <v>¿?</v>
      </c>
      <c r="N83" s="308"/>
      <c r="O83" s="308"/>
      <c r="P83" s="308"/>
      <c r="Q83" s="308"/>
      <c r="R83" s="308"/>
      <c r="S83" s="308"/>
      <c r="T83" s="308"/>
      <c r="U83" s="308"/>
      <c r="V83" s="308"/>
      <c r="W83" s="308"/>
      <c r="X83" s="308"/>
      <c r="Y83" s="308" t="str">
        <f>IFERROR(VLOOKUP(AJ83,PREVAC!$AI$3:AQ259,9,FALSE),"¿?")</f>
        <v>¿?</v>
      </c>
      <c r="Z83" s="308"/>
      <c r="AA83" s="308"/>
      <c r="AB83" s="9"/>
      <c r="AC83" s="630"/>
      <c r="AD83" s="631"/>
      <c r="AE83" s="631"/>
      <c r="AF83" s="631"/>
      <c r="AG83" s="632"/>
      <c r="AH83" s="9"/>
      <c r="AI83" s="9"/>
      <c r="AJ83" s="182" t="str">
        <f t="shared" si="4"/>
        <v>Alterno 2-RIP</v>
      </c>
      <c r="AQ83" s="13"/>
    </row>
    <row r="84" spans="1:43" ht="36.9" customHeight="1" x14ac:dyDescent="0.3">
      <c r="A84" s="9"/>
      <c r="B84" s="306"/>
      <c r="C84" s="190" t="s">
        <v>411</v>
      </c>
      <c r="D84" s="181" t="str">
        <f>IFERROR(VLOOKUP(AJ84,PREVAC!$AI$3:AQ260,4,FALSE),"¿?")</f>
        <v>¿?</v>
      </c>
      <c r="E84" s="181" t="str">
        <f>IFERROR(VLOOKUP(AJ84,PREVAC!$AI$3:AQ260,5,FALSE),"¿?")</f>
        <v>¿?</v>
      </c>
      <c r="F84" s="307" t="str">
        <f>IFERROR(VLOOKUP(AJ84,PREVAC!$AI$3:AQ260,6,FALSE),"¿?")</f>
        <v>¿?</v>
      </c>
      <c r="G84" s="307"/>
      <c r="H84" s="308" t="str">
        <f>IFERROR(VLOOKUP(AJ84,PREVAC!$AI$3:AQ260,7,FALSE),"¿?")</f>
        <v>¿?</v>
      </c>
      <c r="I84" s="308"/>
      <c r="J84" s="308"/>
      <c r="K84" s="308"/>
      <c r="L84" s="308"/>
      <c r="M84" s="308" t="str">
        <f>IFERROR(VLOOKUP(AJ84,PREVAC!$AI$3:AQ260,8,FALSE),"¿?")</f>
        <v>¿?</v>
      </c>
      <c r="N84" s="308"/>
      <c r="O84" s="308"/>
      <c r="P84" s="308"/>
      <c r="Q84" s="308"/>
      <c r="R84" s="308"/>
      <c r="S84" s="308"/>
      <c r="T84" s="308"/>
      <c r="U84" s="308"/>
      <c r="V84" s="308"/>
      <c r="W84" s="308"/>
      <c r="X84" s="308"/>
      <c r="Y84" s="308" t="str">
        <f>IFERROR(VLOOKUP(AJ84,PREVAC!$AI$3:AQ260,9,FALSE),"¿?")</f>
        <v>¿?</v>
      </c>
      <c r="Z84" s="308"/>
      <c r="AA84" s="308"/>
      <c r="AB84" s="9"/>
      <c r="AC84" s="633"/>
      <c r="AD84" s="634"/>
      <c r="AE84" s="634"/>
      <c r="AF84" s="634"/>
      <c r="AG84" s="635"/>
      <c r="AH84" s="9"/>
      <c r="AI84" s="9"/>
      <c r="AJ84" s="182" t="str">
        <f t="shared" si="4"/>
        <v>Alterno 2-ALAR</v>
      </c>
    </row>
    <row r="85" spans="1:43" ht="30" customHeight="1" x14ac:dyDescent="0.3">
      <c r="A85" s="9"/>
      <c r="B85" s="10"/>
      <c r="C85" s="9"/>
      <c r="D85" s="10"/>
      <c r="E85" s="9"/>
      <c r="F85" s="10"/>
      <c r="G85" s="9"/>
      <c r="H85" s="10"/>
      <c r="I85" s="9"/>
      <c r="J85" s="9"/>
      <c r="K85" s="9"/>
      <c r="L85" s="9"/>
      <c r="M85" s="9"/>
      <c r="N85" s="9"/>
      <c r="O85" s="9"/>
      <c r="P85" s="9"/>
      <c r="Q85" s="9"/>
      <c r="R85" s="9"/>
      <c r="S85" s="9"/>
      <c r="T85" s="9"/>
      <c r="U85" s="9"/>
      <c r="V85" s="9"/>
      <c r="W85" s="9"/>
      <c r="X85" s="11"/>
      <c r="Y85" s="9"/>
      <c r="Z85" s="9"/>
      <c r="AA85" s="9"/>
      <c r="AB85" s="9"/>
      <c r="AC85" s="9"/>
      <c r="AD85" s="9"/>
      <c r="AE85" s="9"/>
      <c r="AF85" s="9"/>
      <c r="AG85" s="9"/>
      <c r="AH85" s="9"/>
      <c r="AI85" s="9"/>
    </row>
  </sheetData>
  <sheetProtection algorithmName="SHA-512" hashValue="4fNndcKcGZiP5U0U7+5lP1WwdyHG0zi4uYjXJSqEVAPtsdZW6/GEmqMXdPyHlRTriXM50Sq+hg1cU5ma/221Hg==" saltValue="gBI50ZTXmgUSjXUGi3Z2KA==" spinCount="100000" sheet="1" selectLockedCells="1"/>
  <sortState xmlns:xlrd2="http://schemas.microsoft.com/office/spreadsheetml/2017/richdata2" ref="AY30:BA56">
    <sortCondition ref="AY30:AY56"/>
  </sortState>
  <mergeCells count="287">
    <mergeCell ref="AC82:AG84"/>
    <mergeCell ref="AC2:AG5"/>
    <mergeCell ref="AD65:AG65"/>
    <mergeCell ref="AC66:AG68"/>
    <mergeCell ref="AD69:AG69"/>
    <mergeCell ref="AC70:AG72"/>
    <mergeCell ref="AD73:AG73"/>
    <mergeCell ref="AC74:AG76"/>
    <mergeCell ref="AD77:AG77"/>
    <mergeCell ref="AC78:AG80"/>
    <mergeCell ref="AD81:AG81"/>
    <mergeCell ref="AC47:AG50"/>
    <mergeCell ref="AC52:AG52"/>
    <mergeCell ref="AC53:AG53"/>
    <mergeCell ref="AC54:AG56"/>
    <mergeCell ref="AD57:AG57"/>
    <mergeCell ref="AC58:AG60"/>
    <mergeCell ref="AD61:AG61"/>
    <mergeCell ref="AC62:AG64"/>
    <mergeCell ref="AC40:AG45"/>
    <mergeCell ref="X19:AA19"/>
    <mergeCell ref="N17:O17"/>
    <mergeCell ref="N18:O18"/>
    <mergeCell ref="N19:O19"/>
    <mergeCell ref="N20:O20"/>
    <mergeCell ref="X21:AA21"/>
    <mergeCell ref="U19:U20"/>
    <mergeCell ref="V19:V20"/>
    <mergeCell ref="Q29:Q30"/>
    <mergeCell ref="R29:R30"/>
    <mergeCell ref="S29:S30"/>
    <mergeCell ref="T29:T30"/>
    <mergeCell ref="U29:U30"/>
    <mergeCell ref="V29:V30"/>
    <mergeCell ref="Q19:Q20"/>
    <mergeCell ref="S33:T33"/>
    <mergeCell ref="Q44:R45"/>
    <mergeCell ref="R19:R20"/>
    <mergeCell ref="S19:S20"/>
    <mergeCell ref="T19:T20"/>
    <mergeCell ref="S40:T43"/>
    <mergeCell ref="S31:T32"/>
    <mergeCell ref="S45:T45"/>
    <mergeCell ref="U45:V45"/>
    <mergeCell ref="U40:V43"/>
    <mergeCell ref="S44:T44"/>
    <mergeCell ref="U44:V44"/>
    <mergeCell ref="S34:T35"/>
    <mergeCell ref="U34:V35"/>
    <mergeCell ref="Q36:R39"/>
    <mergeCell ref="B2:C5"/>
    <mergeCell ref="H26:I26"/>
    <mergeCell ref="B21:E21"/>
    <mergeCell ref="F21:I21"/>
    <mergeCell ref="L9:M9"/>
    <mergeCell ref="K15:M15"/>
    <mergeCell ref="L16:M16"/>
    <mergeCell ref="L17:M17"/>
    <mergeCell ref="K10:M10"/>
    <mergeCell ref="L20:M20"/>
    <mergeCell ref="L18:M18"/>
    <mergeCell ref="L19:M19"/>
    <mergeCell ref="K21:M21"/>
    <mergeCell ref="L22:M22"/>
    <mergeCell ref="B22:E22"/>
    <mergeCell ref="F22:G22"/>
    <mergeCell ref="D4:Z5"/>
    <mergeCell ref="D2:Z2"/>
    <mergeCell ref="D3:Z3"/>
    <mergeCell ref="B10:I10"/>
    <mergeCell ref="D16:E16"/>
    <mergeCell ref="F16:G16"/>
    <mergeCell ref="H16:I16"/>
    <mergeCell ref="B11:E11"/>
    <mergeCell ref="F11:G11"/>
    <mergeCell ref="H11:I11"/>
    <mergeCell ref="B6:AA6"/>
    <mergeCell ref="N16:O16"/>
    <mergeCell ref="B7:AA7"/>
    <mergeCell ref="B8:C8"/>
    <mergeCell ref="D8:E8"/>
    <mergeCell ref="F8:G8"/>
    <mergeCell ref="H8:I8"/>
    <mergeCell ref="B9:C9"/>
    <mergeCell ref="D9:E9"/>
    <mergeCell ref="F9:G9"/>
    <mergeCell ref="L8:M8"/>
    <mergeCell ref="B15:I15"/>
    <mergeCell ref="B16:C16"/>
    <mergeCell ref="H9:I9"/>
    <mergeCell ref="Y9:AA9"/>
    <mergeCell ref="Q8:R10"/>
    <mergeCell ref="U8:V9"/>
    <mergeCell ref="S8:T9"/>
    <mergeCell ref="B28:E28"/>
    <mergeCell ref="F28:I28"/>
    <mergeCell ref="B30:I30"/>
    <mergeCell ref="B31:I32"/>
    <mergeCell ref="B45:E45"/>
    <mergeCell ref="F45:I45"/>
    <mergeCell ref="K45:M45"/>
    <mergeCell ref="F34:I35"/>
    <mergeCell ref="K34:K35"/>
    <mergeCell ref="L34:M35"/>
    <mergeCell ref="K36:M39"/>
    <mergeCell ref="K40:M43"/>
    <mergeCell ref="K44:M44"/>
    <mergeCell ref="B44:E44"/>
    <mergeCell ref="F44:I44"/>
    <mergeCell ref="B36:E37"/>
    <mergeCell ref="F36:I37"/>
    <mergeCell ref="B38:E39"/>
    <mergeCell ref="F38:I39"/>
    <mergeCell ref="B40:E43"/>
    <mergeCell ref="F40:I43"/>
    <mergeCell ref="B33:E33"/>
    <mergeCell ref="F33:I33"/>
    <mergeCell ref="B34:E35"/>
    <mergeCell ref="L24:M24"/>
    <mergeCell ref="N24:O24"/>
    <mergeCell ref="N22:O22"/>
    <mergeCell ref="L23:M23"/>
    <mergeCell ref="N23:O23"/>
    <mergeCell ref="H22:I22"/>
    <mergeCell ref="H27:I27"/>
    <mergeCell ref="K33:M33"/>
    <mergeCell ref="AT31:AW32"/>
    <mergeCell ref="U31:V32"/>
    <mergeCell ref="X22:AA45"/>
    <mergeCell ref="N45:O45"/>
    <mergeCell ref="N44:O44"/>
    <mergeCell ref="N40:O43"/>
    <mergeCell ref="N36:O39"/>
    <mergeCell ref="Q31:R32"/>
    <mergeCell ref="Q34:R35"/>
    <mergeCell ref="Q40:R43"/>
    <mergeCell ref="N33:O33"/>
    <mergeCell ref="N34:O35"/>
    <mergeCell ref="S36:T39"/>
    <mergeCell ref="U36:V39"/>
    <mergeCell ref="U33:V33"/>
    <mergeCell ref="Q33:R33"/>
    <mergeCell ref="AT16:AW17"/>
    <mergeCell ref="AT14:AW15"/>
    <mergeCell ref="AF13:AF15"/>
    <mergeCell ref="AE13:AE14"/>
    <mergeCell ref="AJ29:AM30"/>
    <mergeCell ref="AO29:AR30"/>
    <mergeCell ref="AJ31:AM32"/>
    <mergeCell ref="AO31:AR32"/>
    <mergeCell ref="B61:AA61"/>
    <mergeCell ref="B47:C50"/>
    <mergeCell ref="D47:Z47"/>
    <mergeCell ref="D48:Z48"/>
    <mergeCell ref="D49:Z50"/>
    <mergeCell ref="B51:AA51"/>
    <mergeCell ref="B52:AA52"/>
    <mergeCell ref="D53:E53"/>
    <mergeCell ref="F53:G53"/>
    <mergeCell ref="H53:X53"/>
    <mergeCell ref="Y53:AA53"/>
    <mergeCell ref="B54:B55"/>
    <mergeCell ref="F54:G54"/>
    <mergeCell ref="H54:L54"/>
    <mergeCell ref="M54:X54"/>
    <mergeCell ref="Y54:AA54"/>
    <mergeCell ref="B62:B63"/>
    <mergeCell ref="F62:G62"/>
    <mergeCell ref="H62:L62"/>
    <mergeCell ref="M62:X62"/>
    <mergeCell ref="Y62:AA62"/>
    <mergeCell ref="F63:G63"/>
    <mergeCell ref="H63:L63"/>
    <mergeCell ref="M63:X63"/>
    <mergeCell ref="Y63:AA63"/>
    <mergeCell ref="B69:AA69"/>
    <mergeCell ref="B70:B71"/>
    <mergeCell ref="F70:G70"/>
    <mergeCell ref="H70:L70"/>
    <mergeCell ref="M70:X70"/>
    <mergeCell ref="Y70:AA70"/>
    <mergeCell ref="F71:G71"/>
    <mergeCell ref="H71:L71"/>
    <mergeCell ref="M71:X71"/>
    <mergeCell ref="Y71:AA71"/>
    <mergeCell ref="B77:AA77"/>
    <mergeCell ref="B78:B79"/>
    <mergeCell ref="F78:G78"/>
    <mergeCell ref="H78:L78"/>
    <mergeCell ref="M78:X78"/>
    <mergeCell ref="Y78:AA78"/>
    <mergeCell ref="F79:G79"/>
    <mergeCell ref="H79:L79"/>
    <mergeCell ref="M79:X79"/>
    <mergeCell ref="Y79:AA79"/>
    <mergeCell ref="F55:G55"/>
    <mergeCell ref="H55:L55"/>
    <mergeCell ref="M55:X55"/>
    <mergeCell ref="Y55:AA55"/>
    <mergeCell ref="B56:B58"/>
    <mergeCell ref="F56:G56"/>
    <mergeCell ref="H56:L56"/>
    <mergeCell ref="M56:X56"/>
    <mergeCell ref="Y56:AA56"/>
    <mergeCell ref="F57:G57"/>
    <mergeCell ref="H57:L57"/>
    <mergeCell ref="M57:X57"/>
    <mergeCell ref="Y57:AA57"/>
    <mergeCell ref="F58:G58"/>
    <mergeCell ref="H58:L58"/>
    <mergeCell ref="M58:X58"/>
    <mergeCell ref="Y58:AA58"/>
    <mergeCell ref="B59:B60"/>
    <mergeCell ref="F59:G59"/>
    <mergeCell ref="H59:L59"/>
    <mergeCell ref="M59:X59"/>
    <mergeCell ref="Y59:AA59"/>
    <mergeCell ref="F60:G60"/>
    <mergeCell ref="H60:L60"/>
    <mergeCell ref="M60:X60"/>
    <mergeCell ref="Y60:AA60"/>
    <mergeCell ref="B64:B66"/>
    <mergeCell ref="F64:G64"/>
    <mergeCell ref="H64:L64"/>
    <mergeCell ref="M64:X64"/>
    <mergeCell ref="Y64:AA64"/>
    <mergeCell ref="F65:G65"/>
    <mergeCell ref="H65:L65"/>
    <mergeCell ref="M65:X65"/>
    <mergeCell ref="Y65:AA65"/>
    <mergeCell ref="F66:G66"/>
    <mergeCell ref="H66:L66"/>
    <mergeCell ref="M66:X66"/>
    <mergeCell ref="Y66:AA66"/>
    <mergeCell ref="B67:B68"/>
    <mergeCell ref="F67:G67"/>
    <mergeCell ref="H67:L67"/>
    <mergeCell ref="M67:X67"/>
    <mergeCell ref="Y67:AA67"/>
    <mergeCell ref="F68:G68"/>
    <mergeCell ref="H68:L68"/>
    <mergeCell ref="M68:X68"/>
    <mergeCell ref="Y68:AA68"/>
    <mergeCell ref="B72:B74"/>
    <mergeCell ref="F72:G72"/>
    <mergeCell ref="H72:L72"/>
    <mergeCell ref="M72:X72"/>
    <mergeCell ref="Y72:AA72"/>
    <mergeCell ref="F73:G73"/>
    <mergeCell ref="H73:L73"/>
    <mergeCell ref="M73:X73"/>
    <mergeCell ref="Y73:AA73"/>
    <mergeCell ref="F74:G74"/>
    <mergeCell ref="H74:L74"/>
    <mergeCell ref="M74:X74"/>
    <mergeCell ref="Y74:AA74"/>
    <mergeCell ref="B75:B76"/>
    <mergeCell ref="F75:G75"/>
    <mergeCell ref="H75:L75"/>
    <mergeCell ref="M75:X75"/>
    <mergeCell ref="Y75:AA75"/>
    <mergeCell ref="F76:G76"/>
    <mergeCell ref="H76:L76"/>
    <mergeCell ref="M76:X76"/>
    <mergeCell ref="Y76:AA76"/>
    <mergeCell ref="B80:B82"/>
    <mergeCell ref="F80:G80"/>
    <mergeCell ref="H80:L80"/>
    <mergeCell ref="M80:X80"/>
    <mergeCell ref="Y80:AA80"/>
    <mergeCell ref="F81:G81"/>
    <mergeCell ref="H81:L81"/>
    <mergeCell ref="M81:X81"/>
    <mergeCell ref="Y81:AA81"/>
    <mergeCell ref="F82:G82"/>
    <mergeCell ref="H82:L82"/>
    <mergeCell ref="M82:X82"/>
    <mergeCell ref="Y82:AA82"/>
    <mergeCell ref="B83:B84"/>
    <mergeCell ref="F83:G83"/>
    <mergeCell ref="H83:L83"/>
    <mergeCell ref="M83:X83"/>
    <mergeCell ref="Y83:AA83"/>
    <mergeCell ref="F84:G84"/>
    <mergeCell ref="H84:L84"/>
    <mergeCell ref="M84:X84"/>
    <mergeCell ref="Y84:AA84"/>
  </mergeCells>
  <conditionalFormatting sqref="B12:B14">
    <cfRule type="containsBlanks" dxfId="550" priority="535">
      <formula>LEN(TRIM(B12))=0</formula>
    </cfRule>
  </conditionalFormatting>
  <conditionalFormatting sqref="B17:B20">
    <cfRule type="containsBlanks" dxfId="549" priority="523">
      <formula>LEN(TRIM(B17))=0</formula>
    </cfRule>
  </conditionalFormatting>
  <conditionalFormatting sqref="B23:B27">
    <cfRule type="containsBlanks" dxfId="548" priority="364">
      <formula>LEN(TRIM(B23))=0</formula>
    </cfRule>
    <cfRule type="cellIs" dxfId="547" priority="365" operator="equal">
      <formula>$AU$22</formula>
    </cfRule>
    <cfRule type="cellIs" dxfId="546" priority="366" operator="equal">
      <formula>$AU$20</formula>
    </cfRule>
    <cfRule type="cellIs" dxfId="545" priority="367" operator="equal">
      <formula>$AU$21</formula>
    </cfRule>
  </conditionalFormatting>
  <conditionalFormatting sqref="B29">
    <cfRule type="containsBlanks" dxfId="544" priority="491">
      <formula>LEN(TRIM(B29))=0</formula>
    </cfRule>
  </conditionalFormatting>
  <conditionalFormatting sqref="B54:B55">
    <cfRule type="expression" dxfId="543" priority="120">
      <formula>U19&gt;=53</formula>
    </cfRule>
    <cfRule type="expression" dxfId="542" priority="121">
      <formula>U19&gt;=43</formula>
    </cfRule>
    <cfRule type="expression" dxfId="541" priority="122">
      <formula>U19&gt;=29</formula>
    </cfRule>
    <cfRule type="expression" dxfId="540" priority="123">
      <formula>U19&gt;=15</formula>
    </cfRule>
    <cfRule type="expression" dxfId="539" priority="124">
      <formula>U19&gt;=0</formula>
    </cfRule>
  </conditionalFormatting>
  <conditionalFormatting sqref="B62:B63">
    <cfRule type="expression" dxfId="538" priority="115">
      <formula>V19&gt;=53</formula>
    </cfRule>
    <cfRule type="expression" dxfId="537" priority="116">
      <formula>V19&gt;=43</formula>
    </cfRule>
    <cfRule type="expression" dxfId="536" priority="117">
      <formula>V19&gt;=29</formula>
    </cfRule>
    <cfRule type="expression" dxfId="535" priority="118">
      <formula>V19&gt;=15</formula>
    </cfRule>
    <cfRule type="expression" dxfId="534" priority="119">
      <formula>V19&gt;=0</formula>
    </cfRule>
  </conditionalFormatting>
  <conditionalFormatting sqref="B70:B71">
    <cfRule type="expression" dxfId="533" priority="110">
      <formula>U29&gt;=53</formula>
    </cfRule>
    <cfRule type="expression" dxfId="532" priority="111">
      <formula>U29&gt;=43</formula>
    </cfRule>
    <cfRule type="expression" dxfId="531" priority="112">
      <formula>U29&gt;=29</formula>
    </cfRule>
    <cfRule type="expression" dxfId="530" priority="113">
      <formula>U29&gt;=15</formula>
    </cfRule>
    <cfRule type="expression" dxfId="529" priority="114">
      <formula>U29&gt;=0</formula>
    </cfRule>
  </conditionalFormatting>
  <conditionalFormatting sqref="B78:B79">
    <cfRule type="expression" dxfId="528" priority="105">
      <formula>V29&gt;=53</formula>
    </cfRule>
    <cfRule type="expression" dxfId="527" priority="106">
      <formula>V29&gt;=43</formula>
    </cfRule>
    <cfRule type="expression" dxfId="526" priority="107">
      <formula>V29&gt;=29</formula>
    </cfRule>
    <cfRule type="expression" dxfId="525" priority="108">
      <formula>V29&gt;=15</formula>
    </cfRule>
    <cfRule type="expression" dxfId="524" priority="109">
      <formula>V29&gt;=0</formula>
    </cfRule>
  </conditionalFormatting>
  <conditionalFormatting sqref="D8:D9">
    <cfRule type="containsBlanks" dxfId="523" priority="423">
      <formula>LEN(TRIM(D8))=0</formula>
    </cfRule>
  </conditionalFormatting>
  <conditionalFormatting sqref="D12:D14">
    <cfRule type="containsBlanks" dxfId="522" priority="531">
      <formula>LEN(TRIM(D12))=0</formula>
    </cfRule>
  </conditionalFormatting>
  <conditionalFormatting sqref="D17:D20">
    <cfRule type="containsBlanks" dxfId="521" priority="519">
      <formula>LEN(TRIM(D17))=0</formula>
    </cfRule>
  </conditionalFormatting>
  <conditionalFormatting sqref="D23:D27">
    <cfRule type="containsBlanks" dxfId="520" priority="356">
      <formula>LEN(TRIM(D23))=0</formula>
    </cfRule>
    <cfRule type="cellIs" dxfId="519" priority="357" operator="equal">
      <formula>$AU$22</formula>
    </cfRule>
    <cfRule type="cellIs" dxfId="518" priority="358" operator="equal">
      <formula>$AU$20</formula>
    </cfRule>
    <cfRule type="cellIs" dxfId="517" priority="359" operator="equal">
      <formula>$AU$21</formula>
    </cfRule>
  </conditionalFormatting>
  <conditionalFormatting sqref="D29">
    <cfRule type="containsBlanks" dxfId="516" priority="483">
      <formula>LEN(TRIM(D29))=0</formula>
    </cfRule>
  </conditionalFormatting>
  <conditionalFormatting sqref="D54:D60">
    <cfRule type="containsText" dxfId="515" priority="80" operator="containsText" text="5E">
      <formula>NOT(ISERROR(SEARCH("5E",D54)))</formula>
    </cfRule>
    <cfRule type="containsText" dxfId="514" priority="81" operator="containsText" text="5D">
      <formula>NOT(ISERROR(SEARCH("5D",D54)))</formula>
    </cfRule>
    <cfRule type="containsText" dxfId="513" priority="82" operator="containsText" text="4E">
      <formula>NOT(ISERROR(SEARCH("4E",D54)))</formula>
    </cfRule>
    <cfRule type="containsText" dxfId="512" priority="83" operator="containsText" text="5C">
      <formula>NOT(ISERROR(SEARCH("5C",D54)))</formula>
    </cfRule>
    <cfRule type="containsText" dxfId="511" priority="84" operator="containsText" text="4D">
      <formula>NOT(ISERROR(SEARCH("4D",D54)))</formula>
    </cfRule>
    <cfRule type="containsText" dxfId="510" priority="85" operator="containsText" text="3E">
      <formula>NOT(ISERROR(SEARCH("3E",D54)))</formula>
    </cfRule>
    <cfRule type="containsText" dxfId="509" priority="86" operator="containsText" text="5B">
      <formula>NOT(ISERROR(SEARCH("5B",D54)))</formula>
    </cfRule>
    <cfRule type="containsText" dxfId="508" priority="87" operator="containsText" text="4C">
      <formula>NOT(ISERROR(SEARCH("4C",D54)))</formula>
    </cfRule>
    <cfRule type="containsText" dxfId="507" priority="88" operator="containsText" text="3D">
      <formula>NOT(ISERROR(SEARCH("3D",D54)))</formula>
    </cfRule>
    <cfRule type="containsText" dxfId="506" priority="89" operator="containsText" text="2E">
      <formula>NOT(ISERROR(SEARCH("2E",D54)))</formula>
    </cfRule>
    <cfRule type="containsText" dxfId="505" priority="90" operator="containsText" text="5A">
      <formula>NOT(ISERROR(SEARCH("5A",D54)))</formula>
    </cfRule>
    <cfRule type="containsText" dxfId="504" priority="91" operator="containsText" text="4B">
      <formula>NOT(ISERROR(SEARCH("4B",D54)))</formula>
    </cfRule>
    <cfRule type="containsText" dxfId="503" priority="92" operator="containsText" text="3C">
      <formula>NOT(ISERROR(SEARCH("3C",D54)))</formula>
    </cfRule>
    <cfRule type="containsText" dxfId="502" priority="93" operator="containsText" text="2D">
      <formula>NOT(ISERROR(SEARCH("2D",D54)))</formula>
    </cfRule>
    <cfRule type="containsText" dxfId="501" priority="94" operator="containsText" text="1E">
      <formula>NOT(ISERROR(SEARCH("1E",D54)))</formula>
    </cfRule>
    <cfRule type="containsText" dxfId="500" priority="95" operator="containsText" text="4A">
      <formula>NOT(ISERROR(SEARCH("4A",D54)))</formula>
    </cfRule>
    <cfRule type="containsText" dxfId="499" priority="96" operator="containsText" text="3B">
      <formula>NOT(ISERROR(SEARCH("3B",D54)))</formula>
    </cfRule>
    <cfRule type="containsText" dxfId="498" priority="97" operator="containsText" text="2C">
      <formula>NOT(ISERROR(SEARCH("2C",D54)))</formula>
    </cfRule>
    <cfRule type="containsText" dxfId="497" priority="98" operator="containsText" text="1D">
      <formula>NOT(ISERROR(SEARCH("1D",D54)))</formula>
    </cfRule>
    <cfRule type="containsText" dxfId="496" priority="99" operator="containsText" text="3A">
      <formula>NOT(ISERROR(SEARCH("3A",D54)))</formula>
    </cfRule>
    <cfRule type="containsText" dxfId="495" priority="100" operator="containsText" text="2B">
      <formula>NOT(ISERROR(SEARCH("2B",D54)))</formula>
    </cfRule>
    <cfRule type="containsText" dxfId="494" priority="101" operator="containsText" text="1C">
      <formula>NOT(ISERROR(SEARCH("1C",D54)))</formula>
    </cfRule>
    <cfRule type="containsText" dxfId="493" priority="102" operator="containsText" text="2A">
      <formula>NOT(ISERROR(SEARCH("2A",D54)))</formula>
    </cfRule>
    <cfRule type="containsText" dxfId="492" priority="103" operator="containsText" text="1B">
      <formula>NOT(ISERROR(SEARCH("1B",D54)))</formula>
    </cfRule>
    <cfRule type="containsText" dxfId="491" priority="104" operator="containsText" text="1A">
      <formula>NOT(ISERROR(SEARCH("1A",D54)))</formula>
    </cfRule>
  </conditionalFormatting>
  <conditionalFormatting sqref="D62:D68">
    <cfRule type="containsText" dxfId="490" priority="54" operator="containsText" text="5E">
      <formula>NOT(ISERROR(SEARCH("5E",D62)))</formula>
    </cfRule>
    <cfRule type="containsText" dxfId="489" priority="55" operator="containsText" text="5D">
      <formula>NOT(ISERROR(SEARCH("5D",D62)))</formula>
    </cfRule>
    <cfRule type="containsText" dxfId="488" priority="56" operator="containsText" text="4E">
      <formula>NOT(ISERROR(SEARCH("4E",D62)))</formula>
    </cfRule>
    <cfRule type="containsText" dxfId="487" priority="57" operator="containsText" text="5C">
      <formula>NOT(ISERROR(SEARCH("5C",D62)))</formula>
    </cfRule>
    <cfRule type="containsText" dxfId="486" priority="58" operator="containsText" text="4D">
      <formula>NOT(ISERROR(SEARCH("4D",D62)))</formula>
    </cfRule>
    <cfRule type="containsText" dxfId="485" priority="59" operator="containsText" text="3E">
      <formula>NOT(ISERROR(SEARCH("3E",D62)))</formula>
    </cfRule>
    <cfRule type="containsText" dxfId="484" priority="60" operator="containsText" text="5B">
      <formula>NOT(ISERROR(SEARCH("5B",D62)))</formula>
    </cfRule>
    <cfRule type="containsText" dxfId="483" priority="61" operator="containsText" text="4C">
      <formula>NOT(ISERROR(SEARCH("4C",D62)))</formula>
    </cfRule>
    <cfRule type="containsText" dxfId="482" priority="62" operator="containsText" text="3D">
      <formula>NOT(ISERROR(SEARCH("3D",D62)))</formula>
    </cfRule>
    <cfRule type="containsText" dxfId="481" priority="63" operator="containsText" text="2E">
      <formula>NOT(ISERROR(SEARCH("2E",D62)))</formula>
    </cfRule>
    <cfRule type="containsText" dxfId="480" priority="64" operator="containsText" text="5A">
      <formula>NOT(ISERROR(SEARCH("5A",D62)))</formula>
    </cfRule>
    <cfRule type="containsText" dxfId="479" priority="65" operator="containsText" text="4B">
      <formula>NOT(ISERROR(SEARCH("4B",D62)))</formula>
    </cfRule>
    <cfRule type="containsText" dxfId="478" priority="66" operator="containsText" text="3C">
      <formula>NOT(ISERROR(SEARCH("3C",D62)))</formula>
    </cfRule>
    <cfRule type="containsText" dxfId="477" priority="67" operator="containsText" text="2D">
      <formula>NOT(ISERROR(SEARCH("2D",D62)))</formula>
    </cfRule>
    <cfRule type="containsText" dxfId="476" priority="68" operator="containsText" text="1E">
      <formula>NOT(ISERROR(SEARCH("1E",D62)))</formula>
    </cfRule>
    <cfRule type="containsText" dxfId="475" priority="69" operator="containsText" text="4A">
      <formula>NOT(ISERROR(SEARCH("4A",D62)))</formula>
    </cfRule>
    <cfRule type="containsText" dxfId="474" priority="70" operator="containsText" text="3B">
      <formula>NOT(ISERROR(SEARCH("3B",D62)))</formula>
    </cfRule>
    <cfRule type="containsText" dxfId="473" priority="71" operator="containsText" text="2C">
      <formula>NOT(ISERROR(SEARCH("2C",D62)))</formula>
    </cfRule>
    <cfRule type="containsText" dxfId="472" priority="72" operator="containsText" text="1D">
      <formula>NOT(ISERROR(SEARCH("1D",D62)))</formula>
    </cfRule>
    <cfRule type="containsText" dxfId="471" priority="73" operator="containsText" text="3A">
      <formula>NOT(ISERROR(SEARCH("3A",D62)))</formula>
    </cfRule>
    <cfRule type="containsText" dxfId="470" priority="74" operator="containsText" text="2B">
      <formula>NOT(ISERROR(SEARCH("2B",D62)))</formula>
    </cfRule>
    <cfRule type="containsText" dxfId="469" priority="75" operator="containsText" text="1C">
      <formula>NOT(ISERROR(SEARCH("1C",D62)))</formula>
    </cfRule>
    <cfRule type="containsText" dxfId="468" priority="76" operator="containsText" text="2A">
      <formula>NOT(ISERROR(SEARCH("2A",D62)))</formula>
    </cfRule>
    <cfRule type="containsText" dxfId="467" priority="77" operator="containsText" text="1B">
      <formula>NOT(ISERROR(SEARCH("1B",D62)))</formula>
    </cfRule>
    <cfRule type="containsText" dxfId="466" priority="78" operator="containsText" text="1A">
      <formula>NOT(ISERROR(SEARCH("1A",D62)))</formula>
    </cfRule>
  </conditionalFormatting>
  <conditionalFormatting sqref="D70:D76">
    <cfRule type="containsText" dxfId="465" priority="28" operator="containsText" text="5E">
      <formula>NOT(ISERROR(SEARCH("5E",D70)))</formula>
    </cfRule>
    <cfRule type="containsText" dxfId="464" priority="29" operator="containsText" text="5D">
      <formula>NOT(ISERROR(SEARCH("5D",D70)))</formula>
    </cfRule>
    <cfRule type="containsText" dxfId="463" priority="30" operator="containsText" text="4E">
      <formula>NOT(ISERROR(SEARCH("4E",D70)))</formula>
    </cfRule>
    <cfRule type="containsText" dxfId="462" priority="31" operator="containsText" text="5C">
      <formula>NOT(ISERROR(SEARCH("5C",D70)))</formula>
    </cfRule>
    <cfRule type="containsText" dxfId="461" priority="32" operator="containsText" text="4D">
      <formula>NOT(ISERROR(SEARCH("4D",D70)))</formula>
    </cfRule>
    <cfRule type="containsText" dxfId="460" priority="33" operator="containsText" text="3E">
      <formula>NOT(ISERROR(SEARCH("3E",D70)))</formula>
    </cfRule>
    <cfRule type="containsText" dxfId="459" priority="34" operator="containsText" text="5B">
      <formula>NOT(ISERROR(SEARCH("5B",D70)))</formula>
    </cfRule>
    <cfRule type="containsText" dxfId="458" priority="35" operator="containsText" text="4C">
      <formula>NOT(ISERROR(SEARCH("4C",D70)))</formula>
    </cfRule>
    <cfRule type="containsText" dxfId="457" priority="36" operator="containsText" text="3D">
      <formula>NOT(ISERROR(SEARCH("3D",D70)))</formula>
    </cfRule>
    <cfRule type="containsText" dxfId="456" priority="37" operator="containsText" text="2E">
      <formula>NOT(ISERROR(SEARCH("2E",D70)))</formula>
    </cfRule>
    <cfRule type="containsText" dxfId="455" priority="38" operator="containsText" text="5A">
      <formula>NOT(ISERROR(SEARCH("5A",D70)))</formula>
    </cfRule>
    <cfRule type="containsText" dxfId="454" priority="39" operator="containsText" text="4B">
      <formula>NOT(ISERROR(SEARCH("4B",D70)))</formula>
    </cfRule>
    <cfRule type="containsText" dxfId="453" priority="40" operator="containsText" text="3C">
      <formula>NOT(ISERROR(SEARCH("3C",D70)))</formula>
    </cfRule>
    <cfRule type="containsText" dxfId="452" priority="41" operator="containsText" text="2D">
      <formula>NOT(ISERROR(SEARCH("2D",D70)))</formula>
    </cfRule>
    <cfRule type="containsText" dxfId="451" priority="42" operator="containsText" text="1E">
      <formula>NOT(ISERROR(SEARCH("1E",D70)))</formula>
    </cfRule>
    <cfRule type="containsText" dxfId="450" priority="43" operator="containsText" text="4A">
      <formula>NOT(ISERROR(SEARCH("4A",D70)))</formula>
    </cfRule>
    <cfRule type="containsText" dxfId="449" priority="44" operator="containsText" text="3B">
      <formula>NOT(ISERROR(SEARCH("3B",D70)))</formula>
    </cfRule>
    <cfRule type="containsText" dxfId="448" priority="45" operator="containsText" text="2C">
      <formula>NOT(ISERROR(SEARCH("2C",D70)))</formula>
    </cfRule>
    <cfRule type="containsText" dxfId="447" priority="46" operator="containsText" text="1D">
      <formula>NOT(ISERROR(SEARCH("1D",D70)))</formula>
    </cfRule>
    <cfRule type="containsText" dxfId="446" priority="47" operator="containsText" text="3A">
      <formula>NOT(ISERROR(SEARCH("3A",D70)))</formula>
    </cfRule>
    <cfRule type="containsText" dxfId="445" priority="48" operator="containsText" text="2B">
      <formula>NOT(ISERROR(SEARCH("2B",D70)))</formula>
    </cfRule>
    <cfRule type="containsText" dxfId="444" priority="49" operator="containsText" text="1C">
      <formula>NOT(ISERROR(SEARCH("1C",D70)))</formula>
    </cfRule>
    <cfRule type="containsText" dxfId="443" priority="50" operator="containsText" text="2A">
      <formula>NOT(ISERROR(SEARCH("2A",D70)))</formula>
    </cfRule>
    <cfRule type="containsText" dxfId="442" priority="51" operator="containsText" text="1B">
      <formula>NOT(ISERROR(SEARCH("1B",D70)))</formula>
    </cfRule>
    <cfRule type="containsText" dxfId="441" priority="52" operator="containsText" text="1A">
      <formula>NOT(ISERROR(SEARCH("1A",D70)))</formula>
    </cfRule>
  </conditionalFormatting>
  <conditionalFormatting sqref="D78:D84">
    <cfRule type="containsText" dxfId="440" priority="2" operator="containsText" text="5E">
      <formula>NOT(ISERROR(SEARCH("5E",D78)))</formula>
    </cfRule>
    <cfRule type="containsText" dxfId="439" priority="3" operator="containsText" text="5D">
      <formula>NOT(ISERROR(SEARCH("5D",D78)))</formula>
    </cfRule>
    <cfRule type="containsText" dxfId="438" priority="4" operator="containsText" text="4E">
      <formula>NOT(ISERROR(SEARCH("4E",D78)))</formula>
    </cfRule>
    <cfRule type="containsText" dxfId="437" priority="5" operator="containsText" text="5C">
      <formula>NOT(ISERROR(SEARCH("5C",D78)))</formula>
    </cfRule>
    <cfRule type="containsText" dxfId="436" priority="6" operator="containsText" text="4D">
      <formula>NOT(ISERROR(SEARCH("4D",D78)))</formula>
    </cfRule>
    <cfRule type="containsText" dxfId="435" priority="7" operator="containsText" text="3E">
      <formula>NOT(ISERROR(SEARCH("3E",D78)))</formula>
    </cfRule>
    <cfRule type="containsText" dxfId="434" priority="8" operator="containsText" text="5B">
      <formula>NOT(ISERROR(SEARCH("5B",D78)))</formula>
    </cfRule>
    <cfRule type="containsText" dxfId="433" priority="9" operator="containsText" text="4C">
      <formula>NOT(ISERROR(SEARCH("4C",D78)))</formula>
    </cfRule>
    <cfRule type="containsText" dxfId="432" priority="10" operator="containsText" text="3D">
      <formula>NOT(ISERROR(SEARCH("3D",D78)))</formula>
    </cfRule>
    <cfRule type="containsText" dxfId="431" priority="11" operator="containsText" text="2E">
      <formula>NOT(ISERROR(SEARCH("2E",D78)))</formula>
    </cfRule>
    <cfRule type="containsText" dxfId="430" priority="12" operator="containsText" text="5A">
      <formula>NOT(ISERROR(SEARCH("5A",D78)))</formula>
    </cfRule>
    <cfRule type="containsText" dxfId="429" priority="13" operator="containsText" text="4B">
      <formula>NOT(ISERROR(SEARCH("4B",D78)))</formula>
    </cfRule>
    <cfRule type="containsText" dxfId="428" priority="14" operator="containsText" text="3C">
      <formula>NOT(ISERROR(SEARCH("3C",D78)))</formula>
    </cfRule>
    <cfRule type="containsText" dxfId="427" priority="15" operator="containsText" text="2D">
      <formula>NOT(ISERROR(SEARCH("2D",D78)))</formula>
    </cfRule>
    <cfRule type="containsText" dxfId="426" priority="16" operator="containsText" text="1E">
      <formula>NOT(ISERROR(SEARCH("1E",D78)))</formula>
    </cfRule>
    <cfRule type="containsText" dxfId="425" priority="17" operator="containsText" text="4A">
      <formula>NOT(ISERROR(SEARCH("4A",D78)))</formula>
    </cfRule>
    <cfRule type="containsText" dxfId="424" priority="18" operator="containsText" text="3B">
      <formula>NOT(ISERROR(SEARCH("3B",D78)))</formula>
    </cfRule>
    <cfRule type="containsText" dxfId="423" priority="19" operator="containsText" text="2C">
      <formula>NOT(ISERROR(SEARCH("2C",D78)))</formula>
    </cfRule>
    <cfRule type="containsText" dxfId="422" priority="20" operator="containsText" text="1D">
      <formula>NOT(ISERROR(SEARCH("1D",D78)))</formula>
    </cfRule>
    <cfRule type="containsText" dxfId="421" priority="21" operator="containsText" text="3A">
      <formula>NOT(ISERROR(SEARCH("3A",D78)))</formula>
    </cfRule>
    <cfRule type="containsText" dxfId="420" priority="22" operator="containsText" text="2B">
      <formula>NOT(ISERROR(SEARCH("2B",D78)))</formula>
    </cfRule>
    <cfRule type="containsText" dxfId="419" priority="23" operator="containsText" text="1C">
      <formula>NOT(ISERROR(SEARCH("1C",D78)))</formula>
    </cfRule>
    <cfRule type="containsText" dxfId="418" priority="24" operator="containsText" text="2A">
      <formula>NOT(ISERROR(SEARCH("2A",D78)))</formula>
    </cfRule>
    <cfRule type="containsText" dxfId="417" priority="25" operator="containsText" text="1B">
      <formula>NOT(ISERROR(SEARCH("1B",D78)))</formula>
    </cfRule>
    <cfRule type="containsText" dxfId="416" priority="26" operator="containsText" text="1A">
      <formula>NOT(ISERROR(SEARCH("1A",D78)))</formula>
    </cfRule>
  </conditionalFormatting>
  <conditionalFormatting sqref="D54:AA60">
    <cfRule type="containsText" dxfId="415" priority="79" operator="containsText" text="¿?">
      <formula>NOT(ISERROR(SEARCH("¿?",D54)))</formula>
    </cfRule>
  </conditionalFormatting>
  <conditionalFormatting sqref="D62:AA68">
    <cfRule type="containsText" dxfId="414" priority="53" operator="containsText" text="¿?">
      <formula>NOT(ISERROR(SEARCH("¿?",D62)))</formula>
    </cfRule>
  </conditionalFormatting>
  <conditionalFormatting sqref="D70:AA76">
    <cfRule type="containsText" dxfId="413" priority="27" operator="containsText" text="¿?">
      <formula>NOT(ISERROR(SEARCH("¿?",D70)))</formula>
    </cfRule>
  </conditionalFormatting>
  <conditionalFormatting sqref="D78:AA84">
    <cfRule type="containsText" dxfId="412" priority="1" operator="containsText" text="¿?">
      <formula>NOT(ISERROR(SEARCH("¿?",D78)))</formula>
    </cfRule>
  </conditionalFormatting>
  <conditionalFormatting sqref="F12:F13 H12:H13 B12:B14 D12:D14 B17:B20 D17:D20 F17:F20 H17:H20 B29 D29">
    <cfRule type="cellIs" dxfId="411" priority="647" operator="equal">
      <formula>$AU$22</formula>
    </cfRule>
    <cfRule type="cellIs" dxfId="410" priority="648" operator="equal">
      <formula>$AU$20</formula>
    </cfRule>
    <cfRule type="cellIs" dxfId="409" priority="649" operator="equal">
      <formula>$AU$21</formula>
    </cfRule>
  </conditionalFormatting>
  <conditionalFormatting sqref="F12:F14">
    <cfRule type="containsBlanks" dxfId="408" priority="320">
      <formula>LEN(TRIM(F12))=0</formula>
    </cfRule>
  </conditionalFormatting>
  <conditionalFormatting sqref="F14">
    <cfRule type="containsText" dxfId="407" priority="317" operator="containsText" text="N/A">
      <formula>NOT(ISERROR(SEARCH("N/A",F14)))</formula>
    </cfRule>
    <cfRule type="containsText" dxfId="406" priority="318" operator="containsText" text="NO">
      <formula>NOT(ISERROR(SEARCH("NO",F14)))</formula>
    </cfRule>
    <cfRule type="containsText" dxfId="405" priority="319" operator="containsText" text="SI">
      <formula>NOT(ISERROR(SEARCH("SI",F14)))</formula>
    </cfRule>
  </conditionalFormatting>
  <conditionalFormatting sqref="F17:F20">
    <cfRule type="containsBlanks" dxfId="404" priority="515">
      <formula>LEN(TRIM(F17))=0</formula>
    </cfRule>
  </conditionalFormatting>
  <conditionalFormatting sqref="F23">
    <cfRule type="cellIs" dxfId="403" priority="409" operator="between">
      <formula>1</formula>
      <formula>14</formula>
    </cfRule>
    <cfRule type="cellIs" dxfId="402" priority="414" operator="equal">
      <formula>0</formula>
    </cfRule>
  </conditionalFormatting>
  <conditionalFormatting sqref="F24:F27">
    <cfRule type="containsBlanks" dxfId="401" priority="352">
      <formula>LEN(TRIM(F24))=0</formula>
    </cfRule>
    <cfRule type="cellIs" dxfId="400" priority="353" operator="equal">
      <formula>$AU$22</formula>
    </cfRule>
    <cfRule type="cellIs" dxfId="399" priority="354" operator="equal">
      <formula>$AU$20</formula>
    </cfRule>
    <cfRule type="cellIs" dxfId="398" priority="355" operator="equal">
      <formula>$AU$21</formula>
    </cfRule>
  </conditionalFormatting>
  <conditionalFormatting sqref="F29">
    <cfRule type="containsBlanks" dxfId="397" priority="344">
      <formula>LEN(TRIM(F29))=0</formula>
    </cfRule>
    <cfRule type="cellIs" dxfId="396" priority="345" operator="equal">
      <formula>$AU$22</formula>
    </cfRule>
    <cfRule type="cellIs" dxfId="395" priority="346" operator="equal">
      <formula>$AU$20</formula>
    </cfRule>
    <cfRule type="cellIs" dxfId="394" priority="347" operator="equal">
      <formula>$AU$21</formula>
    </cfRule>
  </conditionalFormatting>
  <conditionalFormatting sqref="F53">
    <cfRule type="containsText" dxfId="393" priority="125" operator="containsText" text="5E">
      <formula>NOT(ISERROR(SEARCH("5E",F53)))</formula>
    </cfRule>
    <cfRule type="containsText" dxfId="392" priority="126" operator="containsText" text="5D">
      <formula>NOT(ISERROR(SEARCH("5D",F53)))</formula>
    </cfRule>
    <cfRule type="containsText" dxfId="391" priority="127" operator="containsText" text="4E">
      <formula>NOT(ISERROR(SEARCH("4E",F53)))</formula>
    </cfRule>
    <cfRule type="containsText" dxfId="390" priority="128" operator="containsText" text="5C">
      <formula>NOT(ISERROR(SEARCH("5C",F53)))</formula>
    </cfRule>
    <cfRule type="containsText" dxfId="389" priority="129" operator="containsText" text="4D">
      <formula>NOT(ISERROR(SEARCH("4D",F53)))</formula>
    </cfRule>
    <cfRule type="containsText" dxfId="388" priority="130" operator="containsText" text="3E">
      <formula>NOT(ISERROR(SEARCH("3E",F53)))</formula>
    </cfRule>
    <cfRule type="containsText" dxfId="387" priority="131" operator="containsText" text="5B">
      <formula>NOT(ISERROR(SEARCH("5B",F53)))</formula>
    </cfRule>
    <cfRule type="containsText" dxfId="386" priority="132" operator="containsText" text="4C">
      <formula>NOT(ISERROR(SEARCH("4C",F53)))</formula>
    </cfRule>
    <cfRule type="containsText" dxfId="385" priority="133" operator="containsText" text="3D">
      <formula>NOT(ISERROR(SEARCH("3D",F53)))</formula>
    </cfRule>
    <cfRule type="containsText" dxfId="384" priority="134" operator="containsText" text="2E">
      <formula>NOT(ISERROR(SEARCH("2E",F53)))</formula>
    </cfRule>
    <cfRule type="containsText" dxfId="383" priority="135" operator="containsText" text="5A">
      <formula>NOT(ISERROR(SEARCH("5A",F53)))</formula>
    </cfRule>
    <cfRule type="containsText" dxfId="382" priority="136" operator="containsText" text="4B">
      <formula>NOT(ISERROR(SEARCH("4B",F53)))</formula>
    </cfRule>
    <cfRule type="containsText" dxfId="381" priority="137" operator="containsText" text="3C">
      <formula>NOT(ISERROR(SEARCH("3C",F53)))</formula>
    </cfRule>
    <cfRule type="containsText" dxfId="380" priority="138" operator="containsText" text="2D">
      <formula>NOT(ISERROR(SEARCH("2D",F53)))</formula>
    </cfRule>
    <cfRule type="containsText" dxfId="379" priority="139" operator="containsText" text="1E">
      <formula>NOT(ISERROR(SEARCH("1E",F53)))</formula>
    </cfRule>
    <cfRule type="containsText" dxfId="378" priority="140" operator="containsText" text="4A">
      <formula>NOT(ISERROR(SEARCH("4A",F53)))</formula>
    </cfRule>
    <cfRule type="containsText" dxfId="377" priority="141" operator="containsText" text="3B">
      <formula>NOT(ISERROR(SEARCH("3B",F53)))</formula>
    </cfRule>
    <cfRule type="containsText" dxfId="376" priority="142" operator="containsText" text="2C">
      <formula>NOT(ISERROR(SEARCH("2C",F53)))</formula>
    </cfRule>
    <cfRule type="containsText" dxfId="375" priority="143" operator="containsText" text="1D">
      <formula>NOT(ISERROR(SEARCH("1D",F53)))</formula>
    </cfRule>
    <cfRule type="containsText" dxfId="374" priority="144" operator="containsText" text="3A">
      <formula>NOT(ISERROR(SEARCH("3A",F53)))</formula>
    </cfRule>
    <cfRule type="containsText" dxfId="373" priority="145" operator="containsText" text="2B">
      <formula>NOT(ISERROR(SEARCH("2B",F53)))</formula>
    </cfRule>
    <cfRule type="containsText" dxfId="372" priority="146" operator="containsText" text="1C">
      <formula>NOT(ISERROR(SEARCH("1C",F53)))</formula>
    </cfRule>
    <cfRule type="containsText" dxfId="371" priority="147" operator="containsText" text="2A">
      <formula>NOT(ISERROR(SEARCH("2A",F53)))</formula>
    </cfRule>
    <cfRule type="containsText" dxfId="370" priority="148" operator="containsText" text="1B">
      <formula>NOT(ISERROR(SEARCH("1B",F53)))</formula>
    </cfRule>
    <cfRule type="containsText" dxfId="369" priority="149" operator="containsText" text="1A">
      <formula>NOT(ISERROR(SEARCH("1A",F53)))</formula>
    </cfRule>
  </conditionalFormatting>
  <conditionalFormatting sqref="H8:H9">
    <cfRule type="containsBlanks" dxfId="368" priority="422">
      <formula>LEN(TRIM(H8))=0</formula>
    </cfRule>
  </conditionalFormatting>
  <conditionalFormatting sqref="H12:H14">
    <cfRule type="containsBlanks" dxfId="367" priority="316">
      <formula>LEN(TRIM(H12))=0</formula>
    </cfRule>
  </conditionalFormatting>
  <conditionalFormatting sqref="H14">
    <cfRule type="containsText" dxfId="366" priority="313" operator="containsText" text="N/A">
      <formula>NOT(ISERROR(SEARCH("N/A",H14)))</formula>
    </cfRule>
    <cfRule type="containsText" dxfId="365" priority="314" operator="containsText" text="NO">
      <formula>NOT(ISERROR(SEARCH("NO",H14)))</formula>
    </cfRule>
    <cfRule type="containsText" dxfId="364" priority="315" operator="containsText" text="SI">
      <formula>NOT(ISERROR(SEARCH("SI",H14)))</formula>
    </cfRule>
  </conditionalFormatting>
  <conditionalFormatting sqref="H17:H20">
    <cfRule type="containsBlanks" dxfId="363" priority="511">
      <formula>LEN(TRIM(H17))=0</formula>
    </cfRule>
  </conditionalFormatting>
  <conditionalFormatting sqref="H23:H24">
    <cfRule type="containsBlanks" dxfId="362" priority="348">
      <formula>LEN(TRIM(H23))=0</formula>
    </cfRule>
    <cfRule type="cellIs" dxfId="361" priority="349" operator="equal">
      <formula>$AU$22</formula>
    </cfRule>
    <cfRule type="cellIs" dxfId="360" priority="350" operator="equal">
      <formula>$AU$20</formula>
    </cfRule>
    <cfRule type="cellIs" dxfId="359" priority="351" operator="equal">
      <formula>$AU$21</formula>
    </cfRule>
  </conditionalFormatting>
  <conditionalFormatting sqref="H29">
    <cfRule type="containsBlanks" dxfId="358" priority="340">
      <formula>LEN(TRIM(H29))=0</formula>
    </cfRule>
    <cfRule type="cellIs" dxfId="357" priority="341" operator="equal">
      <formula>$AU$22</formula>
    </cfRule>
    <cfRule type="cellIs" dxfId="356" priority="342" operator="equal">
      <formula>$AU$20</formula>
    </cfRule>
    <cfRule type="cellIs" dxfId="355" priority="343" operator="equal">
      <formula>$AU$21</formula>
    </cfRule>
  </conditionalFormatting>
  <conditionalFormatting sqref="L8:L9">
    <cfRule type="containsBlanks" dxfId="354" priority="310">
      <formula>LEN(TRIM(L8))=0</formula>
    </cfRule>
  </conditionalFormatting>
  <conditionalFormatting sqref="L16">
    <cfRule type="containsText" dxfId="353" priority="446" operator="containsText" text="Deteriorada">
      <formula>NOT(ISERROR(SEARCH("Deteriorada",L16)))</formula>
    </cfRule>
  </conditionalFormatting>
  <conditionalFormatting sqref="L17 BA23:BA55">
    <cfRule type="containsText" dxfId="352" priority="445" operator="containsText" text="Montañoso">
      <formula>NOT(ISERROR(SEARCH("Montañoso",L17)))</formula>
    </cfRule>
  </conditionalFormatting>
  <conditionalFormatting sqref="L18">
    <cfRule type="containsText" dxfId="351" priority="444" operator="containsText" text="&lt; 1.500 ft">
      <formula>NOT(ISERROR(SEARCH("&lt; 1.500 ft",L18)))</formula>
    </cfRule>
  </conditionalFormatting>
  <conditionalFormatting sqref="L20">
    <cfRule type="containsText" dxfId="350" priority="441" operator="containsText" text="Si">
      <formula>NOT(ISERROR(SEARCH("Si",L20)))</formula>
    </cfRule>
  </conditionalFormatting>
  <conditionalFormatting sqref="L24">
    <cfRule type="containsText" dxfId="349" priority="437" operator="containsText" text="Prueba">
      <formula>NOT(ISERROR(SEARCH("Prueba",L24)))</formula>
    </cfRule>
  </conditionalFormatting>
  <conditionalFormatting sqref="L32">
    <cfRule type="containsText" dxfId="348" priority="429" operator="containsText" text="&lt; 20 hrs">
      <formula>NOT(ISERROR(SEARCH("&lt; 20 hrs",L32)))</formula>
    </cfRule>
  </conditionalFormatting>
  <conditionalFormatting sqref="L12:M12 AZ23:AZ52">
    <cfRule type="containsText" dxfId="347" priority="338" operator="containsText" text="No">
      <formula>NOT(ISERROR(SEARCH("No",L12)))</formula>
    </cfRule>
  </conditionalFormatting>
  <conditionalFormatting sqref="L13:M13">
    <cfRule type="containsText" dxfId="346" priority="337" operator="containsText" text="Montañoso">
      <formula>NOT(ISERROR(SEARCH("Montañoso",L13)))</formula>
    </cfRule>
  </conditionalFormatting>
  <conditionalFormatting sqref="L14:M14">
    <cfRule type="containsText" dxfId="345" priority="447" operator="containsText" text="Cerrado">
      <formula>NOT(ISERROR(SEARCH("Cerrado",L14)))</formula>
    </cfRule>
    <cfRule type="containsText" dxfId="344" priority="448" operator="containsText" text="Instrumentos">
      <formula>NOT(ISERROR(SEARCH("Instrumentos",L14)))</formula>
    </cfRule>
  </conditionalFormatting>
  <conditionalFormatting sqref="L19:M19">
    <cfRule type="containsText" dxfId="343" priority="331" operator="containsText" text="&gt; 03:15">
      <formula>NOT(ISERROR(SEARCH("&gt; 03:15",L19)))</formula>
    </cfRule>
  </conditionalFormatting>
  <conditionalFormatting sqref="L23:M23">
    <cfRule type="containsText" dxfId="342" priority="329" operator="containsText" text="01:01 a 02:00">
      <formula>NOT(ISERROR(SEARCH("01:01 a 02:00",L23)))</formula>
    </cfRule>
    <cfRule type="containsText" dxfId="341" priority="330" operator="containsText" text="&lt; 01:00">
      <formula>NOT(ISERROR(SEARCH("&lt; 01:00",L23)))</formula>
    </cfRule>
  </conditionalFormatting>
  <conditionalFormatting sqref="L26:M26">
    <cfRule type="containsText" dxfId="340" priority="435" operator="containsText" text="Reducida">
      <formula>NOT(ISERROR(SEARCH("Reducida",L26)))</formula>
    </cfRule>
    <cfRule type="containsText" dxfId="339" priority="436" operator="containsText" text="No Apto">
      <formula>NOT(ISERROR(SEARCH("No Apto",L26)))</formula>
    </cfRule>
  </conditionalFormatting>
  <conditionalFormatting sqref="L26:M31 L14:M14 L16:L18 L20 L24 L32">
    <cfRule type="containsBlanks" dxfId="338" priority="425">
      <formula>LEN(TRIM(L14))=0</formula>
    </cfRule>
  </conditionalFormatting>
  <conditionalFormatting sqref="L27:M27">
    <cfRule type="containsText" dxfId="337" priority="434" operator="containsText" text="Sin Prescripción">
      <formula>NOT(ISERROR(SEARCH("Sin Prescripción",L27)))</formula>
    </cfRule>
  </conditionalFormatting>
  <conditionalFormatting sqref="L28:M28">
    <cfRule type="containsText" dxfId="336" priority="433" operator="containsText" text="&lt; 05:00">
      <formula>NOT(ISERROR(SEARCH("&lt; 05:00",L28)))</formula>
    </cfRule>
  </conditionalFormatting>
  <conditionalFormatting sqref="L29:M29">
    <cfRule type="containsText" dxfId="335" priority="432" operator="containsText" text="Si">
      <formula>NOT(ISERROR(SEARCH("Si",L29)))</formula>
    </cfRule>
  </conditionalFormatting>
  <conditionalFormatting sqref="L30:M30">
    <cfRule type="containsText" dxfId="334" priority="431" operator="containsText" text="&lt; 04:00">
      <formula>NOT(ISERROR(SEARCH("&lt; 04:00",L30)))</formula>
    </cfRule>
  </conditionalFormatting>
  <conditionalFormatting sqref="L31:M31">
    <cfRule type="cellIs" dxfId="333" priority="309" operator="equal">
      <formula>6</formula>
    </cfRule>
    <cfRule type="containsText" dxfId="332" priority="430" operator="containsText" text="5">
      <formula>NOT(ISERROR(SEARCH("5",L31)))</formula>
    </cfRule>
  </conditionalFormatting>
  <conditionalFormatting sqref="L34:M35">
    <cfRule type="containsText" dxfId="331" priority="426" operator="containsText" text="ACEPTABLE">
      <formula>NOT(ISERROR(SEARCH("ACEPTABLE",L34)))</formula>
    </cfRule>
    <cfRule type="containsText" dxfId="330" priority="427" operator="containsText" text="MEDIO">
      <formula>NOT(ISERROR(SEARCH("MEDIO",L34)))</formula>
    </cfRule>
    <cfRule type="containsText" dxfId="329" priority="428" operator="containsText" text="ALTO">
      <formula>NOT(ISERROR(SEARCH("ALTO",L34)))</formula>
    </cfRule>
  </conditionalFormatting>
  <conditionalFormatting sqref="N20">
    <cfRule type="containsBlanks" dxfId="328" priority="454">
      <formula>LEN(TRIM(N20))=0</formula>
    </cfRule>
  </conditionalFormatting>
  <conditionalFormatting sqref="N22:N24">
    <cfRule type="containsBlanks" dxfId="327" priority="451">
      <formula>LEN(TRIM(N22))=0</formula>
    </cfRule>
  </conditionalFormatting>
  <conditionalFormatting sqref="Q12:Q18">
    <cfRule type="expression" dxfId="326" priority="254" stopIfTrue="1">
      <formula>S12="5E"</formula>
    </cfRule>
    <cfRule type="expression" dxfId="325" priority="255" stopIfTrue="1">
      <formula>S12="5D"</formula>
    </cfRule>
    <cfRule type="expression" dxfId="324" priority="256" stopIfTrue="1">
      <formula>S12="4E"</formula>
    </cfRule>
    <cfRule type="expression" dxfId="323" priority="257" stopIfTrue="1">
      <formula>S12="5C"</formula>
    </cfRule>
    <cfRule type="expression" dxfId="322" priority="258" stopIfTrue="1">
      <formula>S12="4D"</formula>
    </cfRule>
    <cfRule type="expression" dxfId="321" priority="259" stopIfTrue="1">
      <formula>S12="3E"</formula>
    </cfRule>
    <cfRule type="expression" dxfId="320" priority="260" stopIfTrue="1">
      <formula>S12="5B"</formula>
    </cfRule>
    <cfRule type="expression" dxfId="319" priority="261" stopIfTrue="1">
      <formula>S12="4C"</formula>
    </cfRule>
    <cfRule type="expression" dxfId="318" priority="262" stopIfTrue="1">
      <formula>S12="3D"</formula>
    </cfRule>
    <cfRule type="expression" dxfId="317" priority="263" stopIfTrue="1">
      <formula>S12="2E"</formula>
    </cfRule>
    <cfRule type="expression" dxfId="316" priority="264" stopIfTrue="1">
      <formula>S12="5A"</formula>
    </cfRule>
    <cfRule type="expression" dxfId="315" priority="265" stopIfTrue="1">
      <formula>S12="4B"</formula>
    </cfRule>
    <cfRule type="expression" dxfId="314" priority="266" stopIfTrue="1">
      <formula>S12="3C"</formula>
    </cfRule>
    <cfRule type="expression" dxfId="313" priority="267" stopIfTrue="1">
      <formula>S12="2D"</formula>
    </cfRule>
    <cfRule type="expression" dxfId="312" priority="268" stopIfTrue="1">
      <formula>S12="1E"</formula>
    </cfRule>
    <cfRule type="expression" dxfId="311" priority="269" stopIfTrue="1">
      <formula>S12="4A"</formula>
    </cfRule>
    <cfRule type="expression" dxfId="310" priority="270" stopIfTrue="1">
      <formula>S12="3B"</formula>
    </cfRule>
    <cfRule type="expression" dxfId="309" priority="271" stopIfTrue="1">
      <formula>S12="2C"</formula>
    </cfRule>
    <cfRule type="expression" dxfId="308" priority="272" stopIfTrue="1">
      <formula>S12="1D"</formula>
    </cfRule>
    <cfRule type="expression" dxfId="307" priority="273" stopIfTrue="1">
      <formula>S12="3A"</formula>
    </cfRule>
    <cfRule type="expression" dxfId="306" priority="274" stopIfTrue="1">
      <formula>S12="2B"</formula>
    </cfRule>
    <cfRule type="expression" dxfId="305" priority="275" stopIfTrue="1">
      <formula>S12="1C"</formula>
    </cfRule>
    <cfRule type="expression" dxfId="304" priority="276" stopIfTrue="1">
      <formula>S12="A2"</formula>
    </cfRule>
    <cfRule type="expression" dxfId="303" priority="277" stopIfTrue="1">
      <formula>S12="1B"</formula>
    </cfRule>
  </conditionalFormatting>
  <conditionalFormatting sqref="Q22:Q28">
    <cfRule type="expression" dxfId="302" priority="175" stopIfTrue="1">
      <formula>S22="5E"</formula>
    </cfRule>
    <cfRule type="expression" dxfId="301" priority="176" stopIfTrue="1">
      <formula>S22="5D"</formula>
    </cfRule>
    <cfRule type="expression" dxfId="300" priority="177" stopIfTrue="1">
      <formula>S22="4E"</formula>
    </cfRule>
    <cfRule type="expression" dxfId="299" priority="178" stopIfTrue="1">
      <formula>S22="5C"</formula>
    </cfRule>
    <cfRule type="expression" dxfId="298" priority="179" stopIfTrue="1">
      <formula>S22="4D"</formula>
    </cfRule>
    <cfRule type="expression" dxfId="297" priority="180" stopIfTrue="1">
      <formula>S22="3E"</formula>
    </cfRule>
    <cfRule type="expression" dxfId="296" priority="181" stopIfTrue="1">
      <formula>S22="5B"</formula>
    </cfRule>
    <cfRule type="expression" dxfId="295" priority="182" stopIfTrue="1">
      <formula>S22="4C"</formula>
    </cfRule>
    <cfRule type="expression" dxfId="294" priority="183" stopIfTrue="1">
      <formula>S22="3D"</formula>
    </cfRule>
    <cfRule type="expression" dxfId="293" priority="184" stopIfTrue="1">
      <formula>S22="2E"</formula>
    </cfRule>
    <cfRule type="expression" dxfId="292" priority="185" stopIfTrue="1">
      <formula>S22="5A"</formula>
    </cfRule>
    <cfRule type="expression" dxfId="291" priority="186" stopIfTrue="1">
      <formula>S22="4B"</formula>
    </cfRule>
    <cfRule type="expression" dxfId="290" priority="187" stopIfTrue="1">
      <formula>S22="3C"</formula>
    </cfRule>
    <cfRule type="expression" dxfId="289" priority="188" stopIfTrue="1">
      <formula>S22="2D"</formula>
    </cfRule>
    <cfRule type="expression" dxfId="288" priority="189" stopIfTrue="1">
      <formula>S22="1E"</formula>
    </cfRule>
    <cfRule type="expression" dxfId="287" priority="190" stopIfTrue="1">
      <formula>S22="4A"</formula>
    </cfRule>
    <cfRule type="expression" dxfId="286" priority="191" stopIfTrue="1">
      <formula>S22="3B"</formula>
    </cfRule>
    <cfRule type="expression" dxfId="285" priority="192" stopIfTrue="1">
      <formula>S22="2C"</formula>
    </cfRule>
    <cfRule type="expression" dxfId="284" priority="193" stopIfTrue="1">
      <formula>S22="1D"</formula>
    </cfRule>
    <cfRule type="expression" dxfId="283" priority="194" stopIfTrue="1">
      <formula>S22="3A"</formula>
    </cfRule>
    <cfRule type="expression" dxfId="282" priority="195" stopIfTrue="1">
      <formula>S22="2B"</formula>
    </cfRule>
    <cfRule type="expression" dxfId="281" priority="196" stopIfTrue="1">
      <formula>S22="1C"</formula>
    </cfRule>
    <cfRule type="expression" dxfId="280" priority="197" stopIfTrue="1">
      <formula>S22="A2"</formula>
    </cfRule>
    <cfRule type="expression" dxfId="279" priority="198" stopIfTrue="1">
      <formula>S22="1B"</formula>
    </cfRule>
    <cfRule type="expression" dxfId="278" priority="199">
      <formula>S22="1A"</formula>
    </cfRule>
  </conditionalFormatting>
  <conditionalFormatting sqref="Q12:R18">
    <cfRule type="expression" dxfId="277" priority="278">
      <formula>S12="1A"</formula>
    </cfRule>
  </conditionalFormatting>
  <conditionalFormatting sqref="Q19:R20">
    <cfRule type="expression" dxfId="276" priority="279">
      <formula>U19&gt;=53</formula>
    </cfRule>
    <cfRule type="expression" dxfId="275" priority="280">
      <formula>U19&gt;=43</formula>
    </cfRule>
    <cfRule type="expression" dxfId="274" priority="281">
      <formula>U19&gt;=29</formula>
    </cfRule>
    <cfRule type="expression" dxfId="273" priority="282">
      <formula>U19&gt;=15</formula>
    </cfRule>
    <cfRule type="expression" dxfId="272" priority="283">
      <formula>U19&gt;=0</formula>
    </cfRule>
  </conditionalFormatting>
  <conditionalFormatting sqref="Q29:R30">
    <cfRule type="expression" dxfId="271" priority="225">
      <formula>U29&gt;=53</formula>
    </cfRule>
    <cfRule type="expression" dxfId="270" priority="226">
      <formula>U29&gt;=43</formula>
    </cfRule>
    <cfRule type="expression" dxfId="269" priority="227">
      <formula>U29&gt;=29</formula>
    </cfRule>
    <cfRule type="expression" dxfId="268" priority="228">
      <formula>U29&gt;=15</formula>
    </cfRule>
    <cfRule type="expression" dxfId="267" priority="229">
      <formula>U29&gt;=0</formula>
    </cfRule>
  </conditionalFormatting>
  <conditionalFormatting sqref="R12:R18">
    <cfRule type="expression" dxfId="266" priority="230">
      <formula>T12="5E"</formula>
    </cfRule>
    <cfRule type="expression" dxfId="265" priority="231">
      <formula>T12="4E"</formula>
    </cfRule>
    <cfRule type="expression" dxfId="264" priority="232">
      <formula>T12="5D"</formula>
    </cfRule>
    <cfRule type="expression" dxfId="263" priority="233">
      <formula>T12="3E"</formula>
    </cfRule>
    <cfRule type="expression" dxfId="262" priority="234">
      <formula>T12="4D"</formula>
    </cfRule>
    <cfRule type="expression" dxfId="261" priority="235">
      <formula>T12="5C"</formula>
    </cfRule>
    <cfRule type="expression" dxfId="260" priority="236">
      <formula>T12="2E"</formula>
    </cfRule>
    <cfRule type="expression" dxfId="259" priority="237">
      <formula>T12="3D"</formula>
    </cfRule>
    <cfRule type="expression" dxfId="258" priority="238">
      <formula>T12="4C"</formula>
    </cfRule>
    <cfRule type="expression" dxfId="257" priority="239">
      <formula>T12="5B"</formula>
    </cfRule>
    <cfRule type="expression" dxfId="256" priority="240">
      <formula>T12="1E"</formula>
    </cfRule>
    <cfRule type="expression" dxfId="255" priority="241">
      <formula>T12="2D"</formula>
    </cfRule>
    <cfRule type="expression" dxfId="254" priority="242">
      <formula>T12="3C"</formula>
    </cfRule>
    <cfRule type="expression" dxfId="253" priority="243">
      <formula>T12="4B"</formula>
    </cfRule>
    <cfRule type="expression" dxfId="252" priority="244">
      <formula>T12="5A"</formula>
    </cfRule>
    <cfRule type="expression" dxfId="251" priority="245">
      <formula>T12="1D"</formula>
    </cfRule>
    <cfRule type="expression" dxfId="250" priority="246">
      <formula>T12="2C"</formula>
    </cfRule>
    <cfRule type="expression" dxfId="249" priority="247">
      <formula>T12="3B"</formula>
    </cfRule>
    <cfRule type="expression" dxfId="248" priority="248">
      <formula>T12="4A"</formula>
    </cfRule>
    <cfRule type="expression" dxfId="247" priority="249">
      <formula>T12="1C"</formula>
    </cfRule>
    <cfRule type="expression" dxfId="246" priority="250">
      <formula>T12="2B"</formula>
    </cfRule>
    <cfRule type="expression" dxfId="245" priority="251">
      <formula>T12="3A"</formula>
    </cfRule>
    <cfRule type="expression" dxfId="244" priority="252">
      <formula>T12="1B"</formula>
    </cfRule>
    <cfRule type="expression" dxfId="243" priority="253">
      <formula>T12="2A"</formula>
    </cfRule>
  </conditionalFormatting>
  <conditionalFormatting sqref="R22:R28">
    <cfRule type="expression" dxfId="242" priority="150">
      <formula>T22="5E"</formula>
    </cfRule>
    <cfRule type="expression" dxfId="241" priority="151">
      <formula>T22="4E"</formula>
    </cfRule>
    <cfRule type="expression" dxfId="240" priority="152">
      <formula>T22="5D"</formula>
    </cfRule>
    <cfRule type="expression" dxfId="239" priority="153">
      <formula>T22="3E"</formula>
    </cfRule>
    <cfRule type="expression" dxfId="238" priority="154">
      <formula>T22="4D"</formula>
    </cfRule>
    <cfRule type="expression" dxfId="237" priority="155">
      <formula>T22="5C"</formula>
    </cfRule>
    <cfRule type="expression" dxfId="236" priority="156">
      <formula>T22="2E"</formula>
    </cfRule>
    <cfRule type="expression" dxfId="235" priority="157">
      <formula>T22="3D"</formula>
    </cfRule>
    <cfRule type="expression" dxfId="234" priority="158">
      <formula>T22="4C"</formula>
    </cfRule>
    <cfRule type="expression" dxfId="233" priority="159">
      <formula>T22="5B"</formula>
    </cfRule>
    <cfRule type="expression" dxfId="232" priority="160">
      <formula>T22="1E"</formula>
    </cfRule>
    <cfRule type="expression" dxfId="231" priority="161">
      <formula>T22="2D"</formula>
    </cfRule>
    <cfRule type="expression" dxfId="230" priority="162">
      <formula>T22="3C"</formula>
    </cfRule>
    <cfRule type="expression" dxfId="229" priority="163">
      <formula>T22="4B"</formula>
    </cfRule>
    <cfRule type="expression" dxfId="228" priority="164">
      <formula>T22="5A"</formula>
    </cfRule>
    <cfRule type="expression" dxfId="227" priority="165">
      <formula>T22="1D"</formula>
    </cfRule>
    <cfRule type="expression" dxfId="226" priority="166">
      <formula>T22="2C"</formula>
    </cfRule>
    <cfRule type="expression" dxfId="225" priority="167">
      <formula>T22="3B"</formula>
    </cfRule>
    <cfRule type="expression" dxfId="224" priority="168">
      <formula>T22="4A"</formula>
    </cfRule>
    <cfRule type="expression" dxfId="223" priority="169">
      <formula>T22="1C"</formula>
    </cfRule>
    <cfRule type="expression" dxfId="222" priority="170">
      <formula>T22="2B"</formula>
    </cfRule>
    <cfRule type="expression" dxfId="221" priority="171">
      <formula>T22="3A"</formula>
    </cfRule>
    <cfRule type="expression" dxfId="220" priority="172">
      <formula>T22="1B"</formula>
    </cfRule>
    <cfRule type="expression" dxfId="219" priority="173">
      <formula>T22="2A"</formula>
    </cfRule>
    <cfRule type="expression" dxfId="218" priority="174">
      <formula>T22="1A"</formula>
    </cfRule>
  </conditionalFormatting>
  <conditionalFormatting sqref="S12:V18">
    <cfRule type="containsText" dxfId="217" priority="284" operator="containsText" text="5E">
      <formula>NOT(ISERROR(SEARCH("5E",S12)))</formula>
    </cfRule>
    <cfRule type="containsText" dxfId="216" priority="285" operator="containsText" text="5D">
      <formula>NOT(ISERROR(SEARCH("5D",S12)))</formula>
    </cfRule>
    <cfRule type="containsText" dxfId="215" priority="286" operator="containsText" text="4E">
      <formula>NOT(ISERROR(SEARCH("4E",S12)))</formula>
    </cfRule>
    <cfRule type="containsText" dxfId="214" priority="287" operator="containsText" text="5C">
      <formula>NOT(ISERROR(SEARCH("5C",S12)))</formula>
    </cfRule>
    <cfRule type="containsText" dxfId="213" priority="288" operator="containsText" text="4D">
      <formula>NOT(ISERROR(SEARCH("4D",S12)))</formula>
    </cfRule>
    <cfRule type="containsText" dxfId="212" priority="289" operator="containsText" text="3E">
      <formula>NOT(ISERROR(SEARCH("3E",S12)))</formula>
    </cfRule>
    <cfRule type="containsText" dxfId="211" priority="290" operator="containsText" text="5B">
      <formula>NOT(ISERROR(SEARCH("5B",S12)))</formula>
    </cfRule>
    <cfRule type="containsText" dxfId="210" priority="291" operator="containsText" text="4C">
      <formula>NOT(ISERROR(SEARCH("4C",S12)))</formula>
    </cfRule>
    <cfRule type="containsText" dxfId="209" priority="292" operator="containsText" text="3D">
      <formula>NOT(ISERROR(SEARCH("3D",S12)))</formula>
    </cfRule>
    <cfRule type="containsText" dxfId="208" priority="293" operator="containsText" text="2E">
      <formula>NOT(ISERROR(SEARCH("2E",S12)))</formula>
    </cfRule>
    <cfRule type="containsText" dxfId="207" priority="294" operator="containsText" text="5A">
      <formula>NOT(ISERROR(SEARCH("5A",S12)))</formula>
    </cfRule>
    <cfRule type="containsText" dxfId="206" priority="295" operator="containsText" text="4B">
      <formula>NOT(ISERROR(SEARCH("4B",S12)))</formula>
    </cfRule>
    <cfRule type="containsText" dxfId="205" priority="296" operator="containsText" text="3C">
      <formula>NOT(ISERROR(SEARCH("3C",S12)))</formula>
    </cfRule>
    <cfRule type="containsText" dxfId="204" priority="297" operator="containsText" text="2D">
      <formula>NOT(ISERROR(SEARCH("2D",S12)))</formula>
    </cfRule>
    <cfRule type="containsText" dxfId="203" priority="298" operator="containsText" text="1E">
      <formula>NOT(ISERROR(SEARCH("1E",S12)))</formula>
    </cfRule>
    <cfRule type="containsText" dxfId="202" priority="299" operator="containsText" text="4A">
      <formula>NOT(ISERROR(SEARCH("4A",S12)))</formula>
    </cfRule>
    <cfRule type="containsText" dxfId="201" priority="300" operator="containsText" text="3B">
      <formula>NOT(ISERROR(SEARCH("3B",S12)))</formula>
    </cfRule>
    <cfRule type="containsText" dxfId="200" priority="301" operator="containsText" text="2C">
      <formula>NOT(ISERROR(SEARCH("2C",S12)))</formula>
    </cfRule>
    <cfRule type="containsText" dxfId="199" priority="302" operator="containsText" text="1D">
      <formula>NOT(ISERROR(SEARCH("1D",S12)))</formula>
    </cfRule>
    <cfRule type="containsText" dxfId="198" priority="303" operator="containsText" text="3A">
      <formula>NOT(ISERROR(SEARCH("3A",S12)))</formula>
    </cfRule>
    <cfRule type="containsText" dxfId="197" priority="304" operator="containsText" text="2B">
      <formula>NOT(ISERROR(SEARCH("2B",S12)))</formula>
    </cfRule>
    <cfRule type="containsText" dxfId="196" priority="305" operator="containsText" text="1C">
      <formula>NOT(ISERROR(SEARCH("1C",S12)))</formula>
    </cfRule>
    <cfRule type="containsText" dxfId="195" priority="306" operator="containsText" text="2A">
      <formula>NOT(ISERROR(SEARCH("2A",S12)))</formula>
    </cfRule>
    <cfRule type="containsText" dxfId="194" priority="307" operator="containsText" text="1B">
      <formula>NOT(ISERROR(SEARCH("1B",S12)))</formula>
    </cfRule>
    <cfRule type="containsText" dxfId="193" priority="308" operator="containsText" text="1A">
      <formula>NOT(ISERROR(SEARCH("1A",S12)))</formula>
    </cfRule>
  </conditionalFormatting>
  <conditionalFormatting sqref="S22:V28">
    <cfRule type="containsText" dxfId="192" priority="200" operator="containsText" text="5E">
      <formula>NOT(ISERROR(SEARCH("5E",S22)))</formula>
    </cfRule>
    <cfRule type="containsText" dxfId="191" priority="201" operator="containsText" text="5D">
      <formula>NOT(ISERROR(SEARCH("5D",S22)))</formula>
    </cfRule>
    <cfRule type="containsText" dxfId="190" priority="202" operator="containsText" text="4E">
      <formula>NOT(ISERROR(SEARCH("4E",S22)))</formula>
    </cfRule>
    <cfRule type="containsText" dxfId="189" priority="203" operator="containsText" text="5C">
      <formula>NOT(ISERROR(SEARCH("5C",S22)))</formula>
    </cfRule>
    <cfRule type="containsText" dxfId="188" priority="204" operator="containsText" text="4D">
      <formula>NOT(ISERROR(SEARCH("4D",S22)))</formula>
    </cfRule>
    <cfRule type="containsText" dxfId="187" priority="205" operator="containsText" text="3E">
      <formula>NOT(ISERROR(SEARCH("3E",S22)))</formula>
    </cfRule>
    <cfRule type="containsText" dxfId="186" priority="206" operator="containsText" text="5B">
      <formula>NOT(ISERROR(SEARCH("5B",S22)))</formula>
    </cfRule>
    <cfRule type="containsText" dxfId="185" priority="207" operator="containsText" text="4C">
      <formula>NOT(ISERROR(SEARCH("4C",S22)))</formula>
    </cfRule>
    <cfRule type="containsText" dxfId="184" priority="208" operator="containsText" text="3D">
      <formula>NOT(ISERROR(SEARCH("3D",S22)))</formula>
    </cfRule>
    <cfRule type="containsText" dxfId="183" priority="209" operator="containsText" text="2E">
      <formula>NOT(ISERROR(SEARCH("2E",S22)))</formula>
    </cfRule>
    <cfRule type="containsText" dxfId="182" priority="210" operator="containsText" text="5A">
      <formula>NOT(ISERROR(SEARCH("5A",S22)))</formula>
    </cfRule>
    <cfRule type="containsText" dxfId="181" priority="211" operator="containsText" text="4B">
      <formula>NOT(ISERROR(SEARCH("4B",S22)))</formula>
    </cfRule>
    <cfRule type="containsText" dxfId="180" priority="212" operator="containsText" text="3C">
      <formula>NOT(ISERROR(SEARCH("3C",S22)))</formula>
    </cfRule>
    <cfRule type="containsText" dxfId="179" priority="213" operator="containsText" text="2D">
      <formula>NOT(ISERROR(SEARCH("2D",S22)))</formula>
    </cfRule>
    <cfRule type="containsText" dxfId="178" priority="214" operator="containsText" text="1E">
      <formula>NOT(ISERROR(SEARCH("1E",S22)))</formula>
    </cfRule>
    <cfRule type="containsText" dxfId="177" priority="215" operator="containsText" text="4A">
      <formula>NOT(ISERROR(SEARCH("4A",S22)))</formula>
    </cfRule>
    <cfRule type="containsText" dxfId="176" priority="216" operator="containsText" text="3B">
      <formula>NOT(ISERROR(SEARCH("3B",S22)))</formula>
    </cfRule>
    <cfRule type="containsText" dxfId="175" priority="217" operator="containsText" text="2C">
      <formula>NOT(ISERROR(SEARCH("2C",S22)))</formula>
    </cfRule>
    <cfRule type="containsText" dxfId="174" priority="218" operator="containsText" text="1D">
      <formula>NOT(ISERROR(SEARCH("1D",S22)))</formula>
    </cfRule>
    <cfRule type="containsText" dxfId="173" priority="219" operator="containsText" text="3A">
      <formula>NOT(ISERROR(SEARCH("3A",S22)))</formula>
    </cfRule>
    <cfRule type="containsText" dxfId="172" priority="220" operator="containsText" text="2B">
      <formula>NOT(ISERROR(SEARCH("2B",S22)))</formula>
    </cfRule>
    <cfRule type="containsText" dxfId="171" priority="221" operator="containsText" text="1C">
      <formula>NOT(ISERROR(SEARCH("1C",S22)))</formula>
    </cfRule>
    <cfRule type="containsText" dxfId="170" priority="222" operator="containsText" text="2A">
      <formula>NOT(ISERROR(SEARCH("2A",S22)))</formula>
    </cfRule>
    <cfRule type="containsText" dxfId="169" priority="223" operator="containsText" text="1B">
      <formula>NOT(ISERROR(SEARCH("1B",S22)))</formula>
    </cfRule>
    <cfRule type="containsText" dxfId="168" priority="224" operator="containsText" text="1A">
      <formula>NOT(ISERROR(SEARCH("1A",S22)))</formula>
    </cfRule>
  </conditionalFormatting>
  <conditionalFormatting sqref="X22">
    <cfRule type="cellIs" dxfId="167" priority="576" operator="lessThan">
      <formula>4</formula>
    </cfRule>
    <cfRule type="cellIs" dxfId="166" priority="577" operator="equal">
      <formula>4</formula>
    </cfRule>
  </conditionalFormatting>
  <conditionalFormatting sqref="Y15">
    <cfRule type="cellIs" dxfId="165" priority="578" operator="greaterThan">
      <formula>120</formula>
    </cfRule>
  </conditionalFormatting>
  <conditionalFormatting sqref="Y16">
    <cfRule type="cellIs" dxfId="164" priority="564" operator="greaterThan">
      <formula>620</formula>
    </cfRule>
    <cfRule type="cellIs" dxfId="163" priority="565" operator="lessThan">
      <formula>402</formula>
    </cfRule>
    <cfRule type="cellIs" dxfId="162" priority="566" operator="between">
      <formula>402</formula>
      <formula>620</formula>
    </cfRule>
  </conditionalFormatting>
  <conditionalFormatting sqref="Y18">
    <cfRule type="cellIs" dxfId="161" priority="560" operator="between">
      <formula>402</formula>
      <formula>620</formula>
    </cfRule>
    <cfRule type="cellIs" dxfId="160" priority="561" operator="between">
      <formula>402</formula>
      <formula>620</formula>
    </cfRule>
    <cfRule type="cellIs" dxfId="159" priority="562" operator="lessThan">
      <formula>402</formula>
    </cfRule>
    <cfRule type="cellIs" dxfId="158" priority="563" operator="greaterThan">
      <formula>621</formula>
    </cfRule>
  </conditionalFormatting>
  <conditionalFormatting sqref="Y20">
    <cfRule type="cellIs" dxfId="157" priority="570" operator="greaterThan">
      <formula>1.782</formula>
    </cfRule>
    <cfRule type="cellIs" dxfId="156" priority="571" operator="between">
      <formula>1.693</formula>
      <formula>1.782</formula>
    </cfRule>
    <cfRule type="cellIs" dxfId="155" priority="572" operator="lessThan">
      <formula>1.693</formula>
    </cfRule>
  </conditionalFormatting>
  <conditionalFormatting sqref="AA8 Y8:Y9">
    <cfRule type="containsBlanks" dxfId="154" priority="421">
      <formula>LEN(TRIM(Y8))=0</formula>
    </cfRule>
  </conditionalFormatting>
  <conditionalFormatting sqref="AA20">
    <cfRule type="cellIs" dxfId="153" priority="567" operator="between">
      <formula>1.693</formula>
      <formula>1.782</formula>
    </cfRule>
    <cfRule type="cellIs" dxfId="152" priority="568" operator="lessThan">
      <formula>1.693</formula>
    </cfRule>
    <cfRule type="cellIs" dxfId="151" priority="569" operator="greaterThan">
      <formula>1.782</formula>
    </cfRule>
  </conditionalFormatting>
  <conditionalFormatting sqref="AD13:AD15">
    <cfRule type="containsBlanks" dxfId="150" priority="553">
      <formula>LEN(TRIM(AD13))=0</formula>
    </cfRule>
  </conditionalFormatting>
  <conditionalFormatting sqref="AD17 AE18">
    <cfRule type="containsBlanks" dxfId="149" priority="554">
      <formula>LEN(TRIM(AD17))=0</formula>
    </cfRule>
  </conditionalFormatting>
  <conditionalFormatting sqref="AD9:AE10">
    <cfRule type="containsBlanks" dxfId="148" priority="555">
      <formula>LEN(TRIM(AD9))=0</formula>
    </cfRule>
  </conditionalFormatting>
  <conditionalFormatting sqref="AE15">
    <cfRule type="cellIs" dxfId="147" priority="547" operator="lessThanOrEqual">
      <formula>20</formula>
    </cfRule>
    <cfRule type="cellIs" dxfId="146" priority="548" operator="greaterThan">
      <formula>20</formula>
    </cfRule>
  </conditionalFormatting>
  <conditionalFormatting sqref="AM16:AN17">
    <cfRule type="cellIs" dxfId="145" priority="574" operator="equal">
      <formula>"NO"</formula>
    </cfRule>
    <cfRule type="cellIs" dxfId="144" priority="575" operator="equal">
      <formula>"SI"</formula>
    </cfRule>
  </conditionalFormatting>
  <conditionalFormatting sqref="AM20:AN21">
    <cfRule type="cellIs" dxfId="143" priority="558" operator="equal">
      <formula>"NO"</formula>
    </cfRule>
    <cfRule type="cellIs" dxfId="142" priority="559" operator="equal">
      <formula>"SI"</formula>
    </cfRule>
  </conditionalFormatting>
  <conditionalFormatting sqref="AM24:AN25">
    <cfRule type="cellIs" dxfId="141" priority="556" operator="equal">
      <formula>"NO"</formula>
    </cfRule>
    <cfRule type="cellIs" dxfId="140" priority="557" operator="equal">
      <formula>"SI"</formula>
    </cfRule>
  </conditionalFormatting>
  <conditionalFormatting sqref="AT20">
    <cfRule type="containsText" dxfId="139" priority="546" operator="containsText" text="SI">
      <formula>NOT(ISERROR(SEARCH("SI",AT20)))</formula>
    </cfRule>
  </conditionalFormatting>
  <conditionalFormatting sqref="AT21">
    <cfRule type="containsText" dxfId="138" priority="545" operator="containsText" text="NO">
      <formula>NOT(ISERROR(SEARCH("NO",AT21)))</formula>
    </cfRule>
  </conditionalFormatting>
  <conditionalFormatting sqref="AZ54:AZ55">
    <cfRule type="containsText" dxfId="137" priority="312" operator="containsText" text="No">
      <formula>NOT(ISERROR(SEARCH("No",AZ54)))</formula>
    </cfRule>
  </conditionalFormatting>
  <dataValidations count="27">
    <dataValidation type="whole" allowBlank="1" showInputMessage="1" showErrorMessage="1" sqref="AD13:AD14" xr:uid="{3D55E78E-B7AC-7D44-AD44-A676D78090EB}">
      <formula1>0</formula1>
      <formula2>200</formula2>
    </dataValidation>
    <dataValidation type="whole" allowBlank="1" showInputMessage="1" showErrorMessage="1" sqref="AE18" xr:uid="{7C64BFE5-E5CB-BC43-804B-D3B6CFF4E801}">
      <formula1>0</formula1>
      <formula2>99</formula2>
    </dataValidation>
    <dataValidation type="whole" allowBlank="1" showInputMessage="1" showErrorMessage="1" sqref="AD17" xr:uid="{78A26114-7619-9C4A-AAA2-6005E19FE82E}">
      <formula1>0</formula1>
      <formula2>250</formula2>
    </dataValidation>
    <dataValidation type="whole" allowBlank="1" showInputMessage="1" showErrorMessage="1" sqref="AD15" xr:uid="{22A1D662-EFA0-9A4D-87CD-B77B34624B2F}">
      <formula1>0</formula1>
      <formula2>20</formula2>
    </dataValidation>
    <dataValidation operator="equal" allowBlank="1" showInputMessage="1" showErrorMessage="1" sqref="Y9:AA9" xr:uid="{7117E44F-7806-024D-8901-DD223AF59C46}"/>
    <dataValidation type="list" allowBlank="1" showInputMessage="1" showErrorMessage="1" sqref="J8" xr:uid="{5FE6B713-B207-9743-BB26-E3426E1A31E0}">
      <formula1>$AI$26:$AI$34</formula1>
    </dataValidation>
    <dataValidation type="list" allowBlank="1" showInputMessage="1" showErrorMessage="1" sqref="AA8" xr:uid="{AB2A02DF-3038-FA40-9AF4-8C11DBC53034}">
      <formula1>$AC$24:$AC$27</formula1>
    </dataValidation>
    <dataValidation type="list" allowBlank="1" showInputMessage="1" showErrorMessage="1" sqref="L14:M14" xr:uid="{294CE047-4FAC-1744-B7A4-3830366AC386}">
      <formula1>$BC$3:$BC$5</formula1>
    </dataValidation>
    <dataValidation type="list" allowBlank="1" showInputMessage="1" showErrorMessage="1" sqref="L16:M16" xr:uid="{8A89724C-1F33-484A-8A30-E1C9C4EABFAD}">
      <formula1>$BE$3:$BE$5</formula1>
    </dataValidation>
    <dataValidation type="list" allowBlank="1" showInputMessage="1" showErrorMessage="1" sqref="L17:M17" xr:uid="{7B6E50D5-9779-6240-8DCA-0C30A666C2A6}">
      <formula1>$BG$3:$BG$6</formula1>
    </dataValidation>
    <dataValidation type="list" allowBlank="1" showInputMessage="1" showErrorMessage="1" sqref="L18:M18" xr:uid="{A0795D4F-5ECE-434B-9DEC-52D27978D874}">
      <formula1>$BI$3:$BI$7</formula1>
    </dataValidation>
    <dataValidation type="list" allowBlank="1" showInputMessage="1" showErrorMessage="1" sqref="L20:M20" xr:uid="{66EF1FC0-F9CB-1A47-A5E4-7352EF1C0DAA}">
      <formula1>$BM$3:$BM$4</formula1>
    </dataValidation>
    <dataValidation type="list" allowBlank="1" showInputMessage="1" showErrorMessage="1" sqref="L24:M24" xr:uid="{BA6A2414-B5FD-EE4D-90FB-E96780F461A6}">
      <formula1>$BS$3:$BS$6</formula1>
    </dataValidation>
    <dataValidation type="list" allowBlank="1" showInputMessage="1" showErrorMessage="1" sqref="L26:M26" xr:uid="{05B06F50-D0DB-E747-9062-C3E407EEBFB6}">
      <formula1>$BU$3:$BU$6</formula1>
    </dataValidation>
    <dataValidation type="list" allowBlank="1" showInputMessage="1" showErrorMessage="1" sqref="L27:M27" xr:uid="{B94991B0-E171-604C-8B2F-38D2247F1635}">
      <formula1>$BW$3:$BW$6</formula1>
    </dataValidation>
    <dataValidation type="list" allowBlank="1" showInputMessage="1" showErrorMessage="1" sqref="L28:M28" xr:uid="{C7AD374A-85B3-1041-8D97-D4152DD4E7D2}">
      <formula1>$BY$3:$BY$6</formula1>
    </dataValidation>
    <dataValidation type="list" allowBlank="1" showInputMessage="1" showErrorMessage="1" sqref="L29:M29" xr:uid="{228087F8-35DC-5E46-B789-BCB05CBABF76}">
      <formula1>$CA$3:$CA$5</formula1>
    </dataValidation>
    <dataValidation type="list" allowBlank="1" showInputMessage="1" showErrorMessage="1" sqref="L30:M30" xr:uid="{177E5B5C-69B5-094F-81CF-82395B2A4465}">
      <formula1>$CC$3:$CC$6</formula1>
    </dataValidation>
    <dataValidation type="list" allowBlank="1" showInputMessage="1" showErrorMessage="1" sqref="L32" xr:uid="{8E3C67C3-01E9-5F43-8DBD-1C12D46298BF}">
      <formula1>$CG$3:$CG$6</formula1>
    </dataValidation>
    <dataValidation type="list" allowBlank="1" showInputMessage="1" showErrorMessage="1" sqref="F14" xr:uid="{27AEA4EC-0966-F049-8078-12B30E3FB232}">
      <formula1>$AT$20:$AT$22</formula1>
    </dataValidation>
    <dataValidation type="list" allowBlank="1" showInputMessage="1" showErrorMessage="1" sqref="B13 H23:H24 F24 B24:B26 D12:D14 D17 D19:D20 F17 B29 F19:F20 H20 H17:H18 B17 B19:B20" xr:uid="{5329B6D0-727A-A645-922F-02AF992AA2DB}">
      <formula1>$AU$20:$AU$21</formula1>
    </dataValidation>
    <dataValidation type="list" allowBlank="1" showInputMessage="1" showErrorMessage="1" sqref="H12:H13 H29 F29 F25:F27 D25:D27 B27 B23 B14 B18 H19 F12:F13 F18 D18" xr:uid="{23E07364-AECA-6A4E-AEEB-9EFA1D6748BF}">
      <formula1>$AU$20:$AU$22</formula1>
    </dataValidation>
    <dataValidation type="list" allowBlank="1" showInputMessage="1" showErrorMessage="1" sqref="D23:D24" xr:uid="{DFDD4E88-487B-4643-8DAF-EAFE5330F499}">
      <formula1>$AR$15:$AR$26</formula1>
    </dataValidation>
    <dataValidation type="list" allowBlank="1" showInputMessage="1" showErrorMessage="1" sqref="D9:E9" xr:uid="{0DAC0F55-D05D-3F49-B838-212F7F6F188F}">
      <formula1>$BO$3:$BO$62</formula1>
    </dataValidation>
    <dataValidation type="list" allowBlank="1" showInputMessage="1" showErrorMessage="1" sqref="L31:M31" xr:uid="{25AAD885-DD27-FF4B-906C-9FFA06942C76}">
      <formula1>$CE$3:$CE$9</formula1>
    </dataValidation>
    <dataValidation type="list" allowBlank="1" showInputMessage="1" showErrorMessage="1" sqref="H8:I9 L8:M9" xr:uid="{13677748-A4A2-FF4B-8775-C622FFAF2C40}">
      <formula1>$AY$23:$AY$55</formula1>
    </dataValidation>
    <dataValidation type="list" allowBlank="1" showInputMessage="1" showErrorMessage="1" sqref="AD9" xr:uid="{213602BF-B378-734C-A0B3-D4C55B257D59}">
      <formula1>$AC$31:$AC$38</formula1>
    </dataValidation>
  </dataValidations>
  <hyperlinks>
    <hyperlink ref="Q36:R39" r:id="rId1" display="Briefing Tool" xr:uid="{85062882-0B5D-3842-97CB-1A42E62393C2}"/>
  </hyperlinks>
  <printOptions horizontalCentered="1" verticalCentered="1"/>
  <pageMargins left="0.11811023622047245" right="0.11811023622047245" top="0.11811023622047245" bottom="0.11811023622047245" header="0" footer="0"/>
  <pageSetup scale="39" fitToHeight="2" orientation="landscape" r:id="rId2"/>
  <rowBreaks count="1" manualBreakCount="1">
    <brk id="45" max="27" man="1"/>
  </row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779D2-B9B0-9545-A7DE-38B7C80C6FC7}">
  <sheetPr>
    <tabColor theme="4" tint="-0.249977111117893"/>
    <pageSetUpPr fitToPage="1"/>
  </sheetPr>
  <dimension ref="A1:AG93"/>
  <sheetViews>
    <sheetView showGridLines="0" view="pageBreakPreview" topLeftCell="A44" zoomScale="110" zoomScaleNormal="83" zoomScaleSheetLayoutView="110" workbookViewId="0">
      <selection activeCell="S90" sqref="S90:U90"/>
    </sheetView>
  </sheetViews>
  <sheetFormatPr baseColWidth="10" defaultColWidth="10.88671875" defaultRowHeight="15.9" customHeight="1" x14ac:dyDescent="0.3"/>
  <cols>
    <col min="1" max="48" width="3.109375" style="200" customWidth="1"/>
    <col min="49" max="16384" width="10.88671875" style="200"/>
  </cols>
  <sheetData>
    <row r="1" spans="1:32" ht="12" customHeight="1" x14ac:dyDescent="0.3">
      <c r="A1" s="199"/>
      <c r="B1" s="199"/>
      <c r="C1" s="199"/>
      <c r="D1" s="199"/>
      <c r="E1" s="199"/>
      <c r="F1" s="199"/>
      <c r="G1" s="199"/>
      <c r="H1" s="199"/>
      <c r="I1" s="199"/>
      <c r="J1" s="199"/>
      <c r="K1" s="199"/>
      <c r="L1" s="199"/>
      <c r="M1" s="199"/>
      <c r="N1" s="199"/>
      <c r="O1" s="199"/>
      <c r="P1" s="199"/>
      <c r="Q1" s="199"/>
      <c r="R1" s="199"/>
      <c r="S1" s="199"/>
      <c r="T1" s="199"/>
      <c r="U1" s="199"/>
      <c r="V1" s="199"/>
      <c r="W1" s="199"/>
      <c r="X1" s="199"/>
      <c r="Y1" s="199"/>
      <c r="Z1" s="199"/>
      <c r="AA1" s="199"/>
      <c r="AB1" s="199"/>
      <c r="AC1" s="199"/>
      <c r="AD1" s="199"/>
      <c r="AE1" s="199"/>
      <c r="AF1" s="199"/>
    </row>
    <row r="2" spans="1:32" ht="15" customHeight="1" x14ac:dyDescent="0.3">
      <c r="A2" s="199"/>
      <c r="B2" s="199"/>
      <c r="C2" s="199"/>
      <c r="D2" s="199"/>
      <c r="E2" s="199"/>
      <c r="F2" s="199"/>
      <c r="G2" s="199"/>
      <c r="H2" s="199"/>
      <c r="I2" s="199"/>
      <c r="J2" s="554" t="s">
        <v>728</v>
      </c>
      <c r="K2" s="554"/>
      <c r="L2" s="554"/>
      <c r="M2" s="554"/>
      <c r="N2" s="554"/>
      <c r="O2" s="554"/>
      <c r="P2" s="554"/>
      <c r="Q2" s="554"/>
      <c r="R2" s="554"/>
      <c r="S2" s="554"/>
      <c r="T2" s="554"/>
      <c r="U2" s="554"/>
      <c r="V2" s="554"/>
      <c r="W2" s="554"/>
      <c r="X2" s="554"/>
      <c r="Y2" s="554"/>
      <c r="Z2" s="554"/>
      <c r="AA2" s="554"/>
      <c r="AB2" s="554"/>
      <c r="AC2" s="554"/>
      <c r="AD2" s="554"/>
      <c r="AE2" s="554"/>
      <c r="AF2" s="554"/>
    </row>
    <row r="3" spans="1:32" ht="15" customHeight="1" x14ac:dyDescent="0.25">
      <c r="A3" s="199"/>
      <c r="B3" s="201"/>
      <c r="C3" s="199"/>
      <c r="D3" s="199"/>
      <c r="E3" s="199"/>
      <c r="F3" s="199"/>
      <c r="G3" s="199"/>
      <c r="H3" s="199"/>
      <c r="I3" s="199"/>
      <c r="J3" s="511" t="s">
        <v>726</v>
      </c>
      <c r="K3" s="511"/>
      <c r="L3" s="511"/>
      <c r="M3" s="511"/>
      <c r="N3" s="511"/>
      <c r="O3" s="511"/>
      <c r="P3" s="511"/>
      <c r="Q3" s="511"/>
      <c r="R3" s="511"/>
      <c r="S3" s="511"/>
      <c r="T3" s="511"/>
      <c r="U3" s="511"/>
      <c r="V3" s="511"/>
      <c r="W3" s="511"/>
      <c r="X3" s="511"/>
      <c r="Y3" s="511"/>
      <c r="Z3" s="511"/>
      <c r="AA3" s="511"/>
      <c r="AB3" s="511"/>
      <c r="AC3" s="511"/>
      <c r="AD3" s="511"/>
      <c r="AE3" s="511"/>
      <c r="AF3" s="511"/>
    </row>
    <row r="4" spans="1:32" ht="20.100000000000001" customHeight="1" x14ac:dyDescent="0.3">
      <c r="A4" s="555" t="s">
        <v>793</v>
      </c>
      <c r="B4" s="555"/>
      <c r="C4" s="555"/>
      <c r="D4" s="555"/>
      <c r="E4" s="555"/>
      <c r="F4" s="555"/>
      <c r="G4" s="555"/>
      <c r="H4" s="555"/>
      <c r="I4" s="555"/>
      <c r="J4" s="556" t="s">
        <v>792</v>
      </c>
      <c r="K4" s="556"/>
      <c r="L4" s="556"/>
      <c r="M4" s="556"/>
      <c r="N4" s="556"/>
      <c r="O4" s="556"/>
      <c r="P4" s="556"/>
      <c r="Q4" s="556"/>
      <c r="R4" s="556"/>
      <c r="S4" s="556"/>
      <c r="T4" s="556"/>
      <c r="U4" s="556"/>
      <c r="V4" s="556"/>
      <c r="W4" s="556"/>
      <c r="X4" s="556"/>
      <c r="Y4" s="556"/>
      <c r="Z4" s="556"/>
      <c r="AA4" s="556"/>
      <c r="AB4" s="556"/>
      <c r="AC4" s="556"/>
      <c r="AD4" s="556"/>
      <c r="AE4" s="556"/>
      <c r="AF4" s="556"/>
    </row>
    <row r="5" spans="1:32" ht="9.9" customHeight="1" x14ac:dyDescent="0.3">
      <c r="A5" s="555"/>
      <c r="B5" s="555"/>
      <c r="C5" s="555"/>
      <c r="D5" s="555"/>
      <c r="E5" s="555"/>
      <c r="F5" s="555"/>
      <c r="G5" s="555"/>
      <c r="H5" s="555"/>
      <c r="I5" s="555"/>
      <c r="J5" s="199"/>
      <c r="K5" s="199"/>
      <c r="L5" s="199"/>
      <c r="M5" s="199"/>
      <c r="N5" s="199"/>
      <c r="O5" s="199"/>
      <c r="P5" s="199"/>
      <c r="Q5" s="199"/>
      <c r="R5" s="199"/>
      <c r="S5" s="199"/>
      <c r="T5" s="199"/>
      <c r="U5" s="199"/>
      <c r="V5" s="199"/>
      <c r="W5" s="199"/>
      <c r="X5" s="199"/>
      <c r="Y5" s="199"/>
      <c r="Z5" s="199"/>
      <c r="AA5" s="199"/>
      <c r="AB5" s="199"/>
      <c r="AC5" s="199"/>
      <c r="AD5" s="199"/>
      <c r="AE5" s="199"/>
      <c r="AF5" s="199"/>
    </row>
    <row r="6" spans="1:32" ht="6" customHeight="1" x14ac:dyDescent="0.3">
      <c r="A6" s="203"/>
      <c r="B6" s="199"/>
      <c r="C6" s="199"/>
      <c r="D6" s="199"/>
      <c r="E6" s="199"/>
      <c r="F6" s="199"/>
      <c r="G6" s="199"/>
      <c r="H6" s="199"/>
      <c r="I6" s="199"/>
      <c r="J6" s="199"/>
      <c r="K6" s="199"/>
      <c r="L6" s="199"/>
      <c r="M6" s="199"/>
      <c r="N6" s="199"/>
      <c r="O6" s="199"/>
      <c r="P6" s="199"/>
      <c r="Q6" s="199"/>
      <c r="R6" s="199"/>
      <c r="S6" s="199"/>
      <c r="T6" s="199"/>
      <c r="U6" s="199"/>
      <c r="V6" s="199"/>
      <c r="W6" s="199"/>
      <c r="X6" s="199"/>
      <c r="Y6" s="199"/>
      <c r="Z6" s="199"/>
      <c r="AA6" s="199"/>
      <c r="AB6" s="199"/>
      <c r="AC6" s="199"/>
      <c r="AD6" s="199"/>
      <c r="AE6" s="199"/>
      <c r="AF6" s="204"/>
    </row>
    <row r="7" spans="1:32" ht="12" customHeight="1" x14ac:dyDescent="0.3">
      <c r="A7" s="203"/>
      <c r="B7" s="199"/>
      <c r="C7" s="199"/>
      <c r="D7" s="199"/>
      <c r="E7" s="199"/>
      <c r="F7" s="199"/>
      <c r="G7" s="199"/>
      <c r="H7" s="557" t="s">
        <v>727</v>
      </c>
      <c r="I7" s="557"/>
      <c r="J7" s="557"/>
      <c r="K7" s="557"/>
      <c r="L7" s="557"/>
      <c r="M7" s="557"/>
      <c r="N7" s="557"/>
      <c r="O7" s="557"/>
      <c r="P7" s="557"/>
      <c r="Q7" s="557"/>
      <c r="R7" s="557"/>
      <c r="S7" s="557"/>
      <c r="T7" s="557"/>
      <c r="U7" s="557"/>
      <c r="V7" s="557"/>
      <c r="W7" s="557"/>
      <c r="X7" s="557"/>
      <c r="Y7" s="557"/>
      <c r="Z7" s="557"/>
      <c r="AA7" s="557"/>
      <c r="AB7" s="557"/>
      <c r="AC7" s="557"/>
      <c r="AD7" s="557"/>
      <c r="AE7" s="557"/>
      <c r="AF7" s="558"/>
    </row>
    <row r="8" spans="1:32" ht="15.9" customHeight="1" x14ac:dyDescent="0.3">
      <c r="A8" s="559" t="s">
        <v>797</v>
      </c>
      <c r="B8" s="560"/>
      <c r="C8" s="560"/>
      <c r="D8" s="560"/>
      <c r="E8" s="560"/>
      <c r="F8" s="560"/>
      <c r="G8" s="561"/>
      <c r="H8" s="562"/>
      <c r="I8" s="562"/>
      <c r="J8" s="562"/>
      <c r="K8" s="562"/>
      <c r="L8" s="562"/>
      <c r="M8" s="562"/>
      <c r="N8" s="562"/>
      <c r="O8" s="562"/>
      <c r="P8" s="562"/>
      <c r="Q8" s="562"/>
      <c r="R8" s="562"/>
      <c r="S8" s="562"/>
      <c r="T8" s="562"/>
      <c r="U8" s="562"/>
      <c r="V8" s="562"/>
      <c r="W8" s="562"/>
      <c r="X8" s="562"/>
      <c r="Y8" s="562"/>
      <c r="Z8" s="562"/>
      <c r="AA8" s="562"/>
      <c r="AB8" s="562"/>
      <c r="AC8" s="562"/>
      <c r="AD8" s="562"/>
      <c r="AE8" s="562"/>
      <c r="AF8" s="562"/>
    </row>
    <row r="9" spans="1:32" ht="15.9" customHeight="1" x14ac:dyDescent="0.3">
      <c r="A9" s="540" t="s">
        <v>838</v>
      </c>
      <c r="B9" s="541"/>
      <c r="C9" s="541"/>
      <c r="D9" s="541"/>
      <c r="E9" s="205"/>
      <c r="F9" s="199"/>
      <c r="G9" s="199"/>
      <c r="H9" s="562"/>
      <c r="I9" s="562"/>
      <c r="J9" s="562"/>
      <c r="K9" s="562"/>
      <c r="L9" s="562"/>
      <c r="M9" s="562"/>
      <c r="N9" s="562"/>
      <c r="O9" s="562"/>
      <c r="P9" s="562"/>
      <c r="Q9" s="562"/>
      <c r="R9" s="562"/>
      <c r="S9" s="562"/>
      <c r="T9" s="562"/>
      <c r="U9" s="562"/>
      <c r="V9" s="562"/>
      <c r="W9" s="562"/>
      <c r="X9" s="562"/>
      <c r="Y9" s="562"/>
      <c r="Z9" s="562"/>
      <c r="AA9" s="562"/>
      <c r="AB9" s="562"/>
      <c r="AC9" s="562"/>
      <c r="AD9" s="562"/>
      <c r="AE9" s="562"/>
      <c r="AF9" s="562"/>
    </row>
    <row r="10" spans="1:32" ht="8.1" customHeight="1" x14ac:dyDescent="0.3">
      <c r="A10" s="203"/>
      <c r="B10" s="199"/>
      <c r="C10" s="199"/>
      <c r="D10" s="199"/>
      <c r="E10" s="199"/>
      <c r="F10" s="199"/>
      <c r="G10" s="199"/>
      <c r="H10" s="562"/>
      <c r="I10" s="562"/>
      <c r="J10" s="562"/>
      <c r="K10" s="562"/>
      <c r="L10" s="562"/>
      <c r="M10" s="562"/>
      <c r="N10" s="562"/>
      <c r="O10" s="562"/>
      <c r="P10" s="562"/>
      <c r="Q10" s="562"/>
      <c r="R10" s="562"/>
      <c r="S10" s="562"/>
      <c r="T10" s="562"/>
      <c r="U10" s="562"/>
      <c r="V10" s="562"/>
      <c r="W10" s="562"/>
      <c r="X10" s="562"/>
      <c r="Y10" s="562"/>
      <c r="Z10" s="562"/>
      <c r="AA10" s="562"/>
      <c r="AB10" s="562"/>
      <c r="AC10" s="531" t="s">
        <v>821</v>
      </c>
      <c r="AD10" s="531"/>
      <c r="AE10" s="531"/>
      <c r="AF10" s="531"/>
    </row>
    <row r="11" spans="1:32" ht="9.9" customHeight="1" x14ac:dyDescent="0.3">
      <c r="A11" s="559" t="s">
        <v>822</v>
      </c>
      <c r="B11" s="560"/>
      <c r="C11" s="560"/>
      <c r="D11" s="560"/>
      <c r="E11" s="560"/>
      <c r="F11" s="560"/>
      <c r="G11" s="199"/>
      <c r="H11" s="562"/>
      <c r="I11" s="562"/>
      <c r="J11" s="562"/>
      <c r="K11" s="562"/>
      <c r="L11" s="562"/>
      <c r="M11" s="562"/>
      <c r="N11" s="562"/>
      <c r="O11" s="562"/>
      <c r="P11" s="562"/>
      <c r="Q11" s="562"/>
      <c r="R11" s="562"/>
      <c r="S11" s="562"/>
      <c r="T11" s="562"/>
      <c r="U11" s="562"/>
      <c r="V11" s="562"/>
      <c r="W11" s="562"/>
      <c r="X11" s="562"/>
      <c r="Y11" s="562"/>
      <c r="Z11" s="562"/>
      <c r="AA11" s="562"/>
      <c r="AB11" s="562"/>
      <c r="AC11" s="531"/>
      <c r="AD11" s="531"/>
      <c r="AE11" s="531"/>
      <c r="AF11" s="531"/>
    </row>
    <row r="12" spans="1:32" ht="12" customHeight="1" x14ac:dyDescent="0.3">
      <c r="A12" s="551" t="s">
        <v>823</v>
      </c>
      <c r="B12" s="552"/>
      <c r="C12" s="552"/>
      <c r="D12" s="552"/>
      <c r="E12" s="552"/>
      <c r="F12" s="552"/>
      <c r="G12" s="199"/>
      <c r="H12" s="199"/>
      <c r="I12" s="553" t="s">
        <v>796</v>
      </c>
      <c r="J12" s="553"/>
      <c r="K12" s="553"/>
      <c r="L12" s="553"/>
      <c r="M12" s="553"/>
      <c r="N12" s="553"/>
      <c r="O12" s="553"/>
      <c r="P12" s="553"/>
      <c r="Q12" s="199"/>
      <c r="R12" s="199"/>
      <c r="S12" s="199"/>
      <c r="T12" s="199"/>
      <c r="U12" s="199"/>
      <c r="V12" s="199"/>
      <c r="W12" s="199"/>
      <c r="X12" s="199"/>
      <c r="Y12" s="199"/>
      <c r="Z12" s="199"/>
      <c r="AA12" s="199"/>
      <c r="AB12" s="199"/>
      <c r="AC12" s="199"/>
      <c r="AD12" s="199"/>
      <c r="AE12" s="199"/>
      <c r="AF12" s="204"/>
    </row>
    <row r="13" spans="1:32" ht="18" customHeight="1" x14ac:dyDescent="0.3">
      <c r="A13" s="206"/>
      <c r="B13" s="207"/>
      <c r="C13" s="206"/>
      <c r="D13" s="208"/>
      <c r="E13" s="208"/>
      <c r="F13" s="207"/>
      <c r="G13" s="199"/>
      <c r="H13" s="199"/>
      <c r="I13" s="206"/>
      <c r="J13" s="208"/>
      <c r="K13" s="208"/>
      <c r="L13" s="208"/>
      <c r="M13" s="208"/>
      <c r="N13" s="208"/>
      <c r="O13" s="208"/>
      <c r="P13" s="207"/>
      <c r="Q13" s="540" t="s">
        <v>821</v>
      </c>
      <c r="R13" s="541"/>
      <c r="S13" s="541"/>
      <c r="T13" s="209"/>
      <c r="U13" s="199"/>
      <c r="V13" s="199"/>
      <c r="W13" s="199"/>
      <c r="X13" s="199"/>
      <c r="Y13" s="199"/>
      <c r="Z13" s="199"/>
      <c r="AA13" s="199"/>
      <c r="AB13" s="199"/>
      <c r="AC13" s="199"/>
      <c r="AD13" s="199"/>
      <c r="AE13" s="199"/>
      <c r="AF13" s="204"/>
    </row>
    <row r="14" spans="1:32" ht="14.1" customHeight="1" x14ac:dyDescent="0.3">
      <c r="A14" s="542" t="s">
        <v>794</v>
      </c>
      <c r="B14" s="543"/>
      <c r="C14" s="543"/>
      <c r="D14" s="543"/>
      <c r="E14" s="543"/>
      <c r="F14" s="543"/>
      <c r="G14" s="543"/>
      <c r="H14" s="543"/>
      <c r="I14" s="543"/>
      <c r="J14" s="543"/>
      <c r="K14" s="543"/>
      <c r="L14" s="543"/>
      <c r="M14" s="543"/>
      <c r="N14" s="543"/>
      <c r="O14" s="543"/>
      <c r="P14" s="543"/>
      <c r="Q14" s="543"/>
      <c r="R14" s="543"/>
      <c r="S14" s="543"/>
      <c r="T14" s="543"/>
      <c r="U14" s="543"/>
      <c r="V14" s="543"/>
      <c r="W14" s="543"/>
      <c r="X14" s="543"/>
      <c r="Y14" s="543"/>
      <c r="Z14" s="543"/>
      <c r="AA14" s="543"/>
      <c r="AB14" s="543"/>
      <c r="AC14" s="543"/>
      <c r="AD14" s="543"/>
      <c r="AE14" s="543"/>
      <c r="AF14" s="544"/>
    </row>
    <row r="15" spans="1:32" ht="9.9" customHeight="1" x14ac:dyDescent="0.3">
      <c r="A15" s="545" t="s">
        <v>795</v>
      </c>
      <c r="B15" s="546"/>
      <c r="C15" s="546"/>
      <c r="D15" s="546"/>
      <c r="E15" s="546"/>
      <c r="F15" s="546"/>
      <c r="G15" s="546"/>
      <c r="H15" s="546"/>
      <c r="I15" s="546"/>
      <c r="J15" s="546"/>
      <c r="K15" s="546"/>
      <c r="L15" s="546"/>
      <c r="M15" s="546"/>
      <c r="N15" s="546"/>
      <c r="O15" s="546"/>
      <c r="P15" s="546"/>
      <c r="Q15" s="546"/>
      <c r="R15" s="546"/>
      <c r="S15" s="546"/>
      <c r="T15" s="546"/>
      <c r="U15" s="546"/>
      <c r="V15" s="546"/>
      <c r="W15" s="546"/>
      <c r="X15" s="546"/>
      <c r="Y15" s="546"/>
      <c r="Z15" s="546"/>
      <c r="AA15" s="546"/>
      <c r="AB15" s="546"/>
      <c r="AC15" s="546"/>
      <c r="AD15" s="546"/>
      <c r="AE15" s="546"/>
      <c r="AF15" s="547"/>
    </row>
    <row r="16" spans="1:32" ht="3" customHeight="1" x14ac:dyDescent="0.3">
      <c r="A16" s="210"/>
      <c r="B16" s="211"/>
      <c r="C16" s="211"/>
      <c r="D16" s="211"/>
      <c r="E16" s="211"/>
      <c r="F16" s="211"/>
      <c r="G16" s="211"/>
      <c r="H16" s="211"/>
      <c r="I16" s="211"/>
      <c r="J16" s="211"/>
      <c r="K16" s="211"/>
      <c r="L16" s="211"/>
      <c r="M16" s="211"/>
      <c r="N16" s="211"/>
      <c r="O16" s="211"/>
      <c r="P16" s="211"/>
      <c r="Q16" s="211"/>
      <c r="R16" s="211"/>
      <c r="S16" s="211"/>
      <c r="T16" s="211"/>
      <c r="U16" s="211"/>
      <c r="V16" s="211"/>
      <c r="W16" s="211"/>
      <c r="X16" s="211"/>
      <c r="Y16" s="211"/>
      <c r="Z16" s="211"/>
      <c r="AA16" s="211"/>
      <c r="AB16" s="211"/>
      <c r="AC16" s="211"/>
      <c r="AD16" s="211"/>
      <c r="AE16" s="211"/>
      <c r="AF16" s="212"/>
    </row>
    <row r="17" spans="1:32" ht="11.1" customHeight="1" x14ac:dyDescent="0.3">
      <c r="A17" s="548"/>
      <c r="B17" s="548"/>
      <c r="C17" s="548"/>
      <c r="D17" s="548"/>
      <c r="E17" s="548"/>
      <c r="F17" s="548"/>
      <c r="G17" s="548"/>
      <c r="H17" s="548"/>
      <c r="I17" s="548"/>
      <c r="J17" s="548"/>
      <c r="K17" s="548"/>
      <c r="L17" s="548"/>
      <c r="M17" s="548"/>
      <c r="N17" s="548"/>
      <c r="O17" s="548"/>
      <c r="P17" s="548"/>
      <c r="Q17" s="548"/>
      <c r="R17" s="548"/>
      <c r="S17" s="548"/>
      <c r="T17" s="548"/>
      <c r="U17" s="548"/>
      <c r="V17" s="548"/>
      <c r="W17" s="548"/>
      <c r="X17" s="548"/>
      <c r="Y17" s="548"/>
      <c r="Z17" s="548"/>
      <c r="AA17" s="548"/>
      <c r="AB17" s="548"/>
      <c r="AC17" s="548"/>
      <c r="AD17" s="548"/>
      <c r="AE17" s="548"/>
      <c r="AF17" s="548"/>
    </row>
    <row r="18" spans="1:32" ht="2.1" customHeight="1" x14ac:dyDescent="0.3">
      <c r="A18" s="213"/>
      <c r="B18" s="214"/>
      <c r="C18" s="214"/>
      <c r="D18" s="214"/>
      <c r="E18" s="214"/>
      <c r="F18" s="214"/>
      <c r="G18" s="214"/>
      <c r="H18" s="214"/>
      <c r="I18" s="214"/>
      <c r="J18" s="214"/>
      <c r="K18" s="214"/>
      <c r="L18" s="214"/>
      <c r="M18" s="214"/>
      <c r="N18" s="214"/>
      <c r="O18" s="214"/>
      <c r="P18" s="214"/>
      <c r="Q18" s="214"/>
      <c r="R18" s="214"/>
      <c r="S18" s="214"/>
      <c r="T18" s="214"/>
      <c r="U18" s="214"/>
      <c r="V18" s="214"/>
      <c r="W18" s="214"/>
      <c r="X18" s="214"/>
      <c r="Y18" s="214"/>
      <c r="Z18" s="214"/>
      <c r="AA18" s="214"/>
      <c r="AB18" s="214"/>
      <c r="AC18" s="214"/>
      <c r="AD18" s="214"/>
      <c r="AE18" s="214"/>
      <c r="AF18" s="215"/>
    </row>
    <row r="19" spans="1:32" s="219" customFormat="1" ht="12" customHeight="1" x14ac:dyDescent="0.3">
      <c r="A19" s="216"/>
      <c r="B19" s="217" t="s">
        <v>729</v>
      </c>
      <c r="C19" s="217"/>
      <c r="D19" s="217"/>
      <c r="E19" s="217"/>
      <c r="F19" s="217"/>
      <c r="G19" s="217"/>
      <c r="H19" s="217"/>
      <c r="I19" s="217" t="s">
        <v>732</v>
      </c>
      <c r="J19" s="217"/>
      <c r="K19" s="217"/>
      <c r="L19" s="217"/>
      <c r="M19" s="217"/>
      <c r="N19" s="217"/>
      <c r="O19" s="217"/>
      <c r="P19" s="217"/>
      <c r="Q19" s="217"/>
      <c r="R19" s="217"/>
      <c r="S19" s="217"/>
      <c r="T19" s="217"/>
      <c r="U19" s="217" t="s">
        <v>733</v>
      </c>
      <c r="V19" s="217"/>
      <c r="W19" s="217"/>
      <c r="X19" s="217"/>
      <c r="Y19" s="217"/>
      <c r="Z19" s="217"/>
      <c r="AA19" s="217"/>
      <c r="AB19" s="217" t="s">
        <v>159</v>
      </c>
      <c r="AC19" s="217"/>
      <c r="AD19" s="217"/>
      <c r="AE19" s="217"/>
      <c r="AF19" s="218"/>
    </row>
    <row r="20" spans="1:32" s="223" customFormat="1" ht="9.9" customHeight="1" x14ac:dyDescent="0.3">
      <c r="A20" s="220"/>
      <c r="B20" s="221" t="s">
        <v>730</v>
      </c>
      <c r="C20" s="221"/>
      <c r="D20" s="221"/>
      <c r="E20" s="221"/>
      <c r="F20" s="221"/>
      <c r="G20" s="221"/>
      <c r="H20" s="221"/>
      <c r="I20" s="221" t="s">
        <v>799</v>
      </c>
      <c r="J20" s="221"/>
      <c r="K20" s="221"/>
      <c r="L20" s="221"/>
      <c r="M20" s="221"/>
      <c r="N20" s="221"/>
      <c r="O20" s="221"/>
      <c r="P20" s="221"/>
      <c r="Q20" s="221"/>
      <c r="R20" s="221"/>
      <c r="S20" s="221"/>
      <c r="T20" s="221"/>
      <c r="U20" s="221" t="s">
        <v>798</v>
      </c>
      <c r="V20" s="221"/>
      <c r="W20" s="221"/>
      <c r="X20" s="221"/>
      <c r="Y20" s="221"/>
      <c r="Z20" s="221"/>
      <c r="AA20" s="221"/>
      <c r="AB20" s="221" t="s">
        <v>734</v>
      </c>
      <c r="AC20" s="221"/>
      <c r="AD20" s="221"/>
      <c r="AE20" s="221"/>
      <c r="AF20" s="222"/>
    </row>
    <row r="21" spans="1:32" s="223" customFormat="1" ht="2.1" customHeight="1" x14ac:dyDescent="0.3">
      <c r="A21" s="220"/>
      <c r="B21" s="221"/>
      <c r="C21" s="221"/>
      <c r="D21" s="221"/>
      <c r="E21" s="221"/>
      <c r="F21" s="221"/>
      <c r="G21" s="221"/>
      <c r="H21" s="221"/>
      <c r="I21" s="221"/>
      <c r="J21" s="221"/>
      <c r="K21" s="221"/>
      <c r="L21" s="221"/>
      <c r="M21" s="221"/>
      <c r="N21" s="221"/>
      <c r="O21" s="221"/>
      <c r="P21" s="221"/>
      <c r="Q21" s="221"/>
      <c r="R21" s="221"/>
      <c r="S21" s="221"/>
      <c r="T21" s="221"/>
      <c r="U21" s="221"/>
      <c r="V21" s="221"/>
      <c r="W21" s="221"/>
      <c r="X21" s="221"/>
      <c r="Y21" s="221"/>
      <c r="Z21" s="221"/>
      <c r="AA21" s="221"/>
      <c r="AB21" s="221"/>
      <c r="AC21" s="221"/>
      <c r="AD21" s="221"/>
      <c r="AE21" s="221"/>
      <c r="AF21" s="222"/>
    </row>
    <row r="22" spans="1:32" s="232" customFormat="1" ht="15.9" customHeight="1" x14ac:dyDescent="0.3">
      <c r="A22" s="514" t="s">
        <v>821</v>
      </c>
      <c r="B22" s="515"/>
      <c r="C22" s="515"/>
      <c r="D22" s="225" t="s">
        <v>731</v>
      </c>
      <c r="E22" s="225"/>
      <c r="F22" s="225"/>
      <c r="G22" s="225"/>
      <c r="H22" s="226" t="s">
        <v>825</v>
      </c>
      <c r="I22" s="227" t="s">
        <v>832</v>
      </c>
      <c r="J22" s="228" t="s">
        <v>827</v>
      </c>
      <c r="K22" s="228">
        <v>5</v>
      </c>
      <c r="L22" s="228">
        <v>1</v>
      </c>
      <c r="M22" s="228">
        <v>8</v>
      </c>
      <c r="N22" s="228" t="str">
        <f>IF('C172 R-S'!AB8="HK-5182G","2",IF('C172 R-S'!AB8="HK-5187G","7","?"))</f>
        <v>?</v>
      </c>
      <c r="O22" s="229" t="s">
        <v>828</v>
      </c>
      <c r="P22" s="225"/>
      <c r="Q22" s="225"/>
      <c r="R22" s="225"/>
      <c r="S22" s="225"/>
      <c r="T22" s="225"/>
      <c r="U22" s="226" t="s">
        <v>825</v>
      </c>
      <c r="V22" s="230" t="s">
        <v>816</v>
      </c>
      <c r="W22" s="225"/>
      <c r="X22" s="225"/>
      <c r="Y22" s="225"/>
      <c r="Z22" s="225"/>
      <c r="AA22" s="225"/>
      <c r="AB22" s="225"/>
      <c r="AC22" s="230" t="s">
        <v>828</v>
      </c>
      <c r="AD22" s="514" t="s">
        <v>821</v>
      </c>
      <c r="AE22" s="515"/>
      <c r="AF22" s="516"/>
    </row>
    <row r="23" spans="1:32" ht="6.9" customHeight="1" x14ac:dyDescent="0.3">
      <c r="A23" s="233"/>
      <c r="B23" s="234"/>
      <c r="C23" s="234"/>
      <c r="D23" s="234"/>
      <c r="E23" s="234"/>
      <c r="F23" s="234"/>
      <c r="G23" s="234"/>
      <c r="H23" s="234"/>
      <c r="I23" s="234"/>
      <c r="J23" s="234"/>
      <c r="K23" s="234"/>
      <c r="L23" s="234"/>
      <c r="M23" s="234"/>
      <c r="N23" s="234"/>
      <c r="O23" s="234"/>
      <c r="P23" s="234"/>
      <c r="Q23" s="234"/>
      <c r="R23" s="234"/>
      <c r="S23" s="234"/>
      <c r="T23" s="234"/>
      <c r="U23" s="234"/>
      <c r="V23" s="234"/>
      <c r="W23" s="234"/>
      <c r="X23" s="234"/>
      <c r="Y23" s="234"/>
      <c r="Z23" s="234"/>
      <c r="AA23" s="234"/>
      <c r="AB23" s="234"/>
      <c r="AC23" s="234"/>
      <c r="AD23" s="234"/>
      <c r="AE23" s="234"/>
      <c r="AF23" s="235"/>
    </row>
    <row r="24" spans="1:32" s="219" customFormat="1" ht="11.1" customHeight="1" x14ac:dyDescent="0.3">
      <c r="A24" s="216"/>
      <c r="B24" s="217" t="s">
        <v>736</v>
      </c>
      <c r="C24" s="217"/>
      <c r="D24" s="217"/>
      <c r="E24" s="217" t="s">
        <v>737</v>
      </c>
      <c r="F24" s="217"/>
      <c r="G24" s="217"/>
      <c r="H24" s="217"/>
      <c r="I24" s="217"/>
      <c r="J24" s="217"/>
      <c r="K24" s="217" t="s">
        <v>740</v>
      </c>
      <c r="L24" s="217"/>
      <c r="M24" s="217"/>
      <c r="N24" s="217"/>
      <c r="O24" s="217"/>
      <c r="P24" s="217"/>
      <c r="Q24" s="217"/>
      <c r="R24" s="217"/>
      <c r="S24" s="217"/>
      <c r="T24" s="217"/>
      <c r="U24" s="217"/>
      <c r="V24" s="217"/>
      <c r="W24" s="217" t="s">
        <v>742</v>
      </c>
      <c r="X24" s="217"/>
      <c r="Y24" s="217"/>
      <c r="Z24" s="217"/>
      <c r="AA24" s="217"/>
      <c r="AB24" s="217"/>
      <c r="AC24" s="217"/>
      <c r="AD24" s="217"/>
      <c r="AE24" s="217"/>
      <c r="AF24" s="218"/>
    </row>
    <row r="25" spans="1:32" s="239" customFormat="1" ht="9" customHeight="1" x14ac:dyDescent="0.15">
      <c r="A25" s="236"/>
      <c r="B25" s="237" t="s">
        <v>738</v>
      </c>
      <c r="C25" s="237"/>
      <c r="D25" s="237"/>
      <c r="E25" s="237" t="s">
        <v>844</v>
      </c>
      <c r="F25" s="237"/>
      <c r="G25" s="237"/>
      <c r="H25" s="237"/>
      <c r="I25" s="237"/>
      <c r="J25" s="237"/>
      <c r="K25" s="237" t="s">
        <v>741</v>
      </c>
      <c r="L25" s="237"/>
      <c r="M25" s="237"/>
      <c r="N25" s="237"/>
      <c r="O25" s="237"/>
      <c r="P25" s="237"/>
      <c r="Q25" s="237"/>
      <c r="R25" s="237"/>
      <c r="S25" s="237"/>
      <c r="T25" s="237"/>
      <c r="U25" s="237"/>
      <c r="V25" s="237"/>
      <c r="W25" s="237"/>
      <c r="X25" s="237"/>
      <c r="Y25" s="237"/>
      <c r="Z25" s="237"/>
      <c r="AA25" s="237"/>
      <c r="AB25" s="237"/>
      <c r="AC25" s="237"/>
      <c r="AD25" s="237"/>
      <c r="AE25" s="237"/>
      <c r="AF25" s="238"/>
    </row>
    <row r="26" spans="1:32" s="239" customFormat="1" ht="2.1" customHeight="1" x14ac:dyDescent="0.15">
      <c r="A26" s="236"/>
      <c r="B26" s="237"/>
      <c r="C26" s="237"/>
      <c r="D26" s="237"/>
      <c r="E26" s="237"/>
      <c r="F26" s="237"/>
      <c r="G26" s="237"/>
      <c r="H26" s="237"/>
      <c r="I26" s="237"/>
      <c r="J26" s="237"/>
      <c r="K26" s="237"/>
      <c r="L26" s="237"/>
      <c r="M26" s="237"/>
      <c r="N26" s="237"/>
      <c r="O26" s="237"/>
      <c r="P26" s="237"/>
      <c r="Q26" s="237"/>
      <c r="R26" s="237"/>
      <c r="S26" s="237"/>
      <c r="T26" s="237"/>
      <c r="U26" s="237"/>
      <c r="V26" s="237"/>
      <c r="W26" s="237"/>
      <c r="X26" s="237"/>
      <c r="Y26" s="237"/>
      <c r="Z26" s="237"/>
      <c r="AA26" s="237"/>
      <c r="AB26" s="237"/>
      <c r="AC26" s="237"/>
      <c r="AD26" s="237"/>
      <c r="AE26" s="237"/>
      <c r="AF26" s="238"/>
    </row>
    <row r="27" spans="1:32" ht="15.9" customHeight="1" x14ac:dyDescent="0.3">
      <c r="A27" s="240" t="s">
        <v>825</v>
      </c>
      <c r="B27" s="227">
        <v>0</v>
      </c>
      <c r="C27" s="229">
        <v>1</v>
      </c>
      <c r="D27" s="234"/>
      <c r="E27" s="227" t="s">
        <v>429</v>
      </c>
      <c r="F27" s="228">
        <v>1</v>
      </c>
      <c r="G27" s="228">
        <v>7</v>
      </c>
      <c r="H27" s="229">
        <v>2</v>
      </c>
      <c r="I27" s="234"/>
      <c r="J27" s="241" t="s">
        <v>739</v>
      </c>
      <c r="K27" s="230" t="s">
        <v>817</v>
      </c>
      <c r="L27" s="242" t="s">
        <v>825</v>
      </c>
      <c r="M27" s="243"/>
      <c r="N27" s="234"/>
      <c r="O27" s="234"/>
      <c r="P27" s="234"/>
      <c r="Q27" s="549" t="s">
        <v>824</v>
      </c>
      <c r="R27" s="550"/>
      <c r="S27" s="550"/>
      <c r="T27" s="550"/>
      <c r="U27" s="550"/>
      <c r="V27" s="550"/>
      <c r="W27" s="244" t="s">
        <v>739</v>
      </c>
      <c r="X27" s="487" t="s">
        <v>429</v>
      </c>
      <c r="Y27" s="487"/>
      <c r="Z27" s="487"/>
      <c r="AA27" s="487"/>
      <c r="AB27" s="487"/>
      <c r="AC27" s="488"/>
      <c r="AD27" s="515" t="s">
        <v>821</v>
      </c>
      <c r="AE27" s="515"/>
      <c r="AF27" s="516"/>
    </row>
    <row r="28" spans="1:32" ht="5.0999999999999996" customHeight="1" x14ac:dyDescent="0.3">
      <c r="A28" s="233"/>
      <c r="B28" s="234"/>
      <c r="C28" s="234"/>
      <c r="D28" s="234"/>
      <c r="E28" s="234"/>
      <c r="F28" s="234"/>
      <c r="G28" s="234"/>
      <c r="H28" s="234"/>
      <c r="I28" s="234"/>
      <c r="J28" s="234"/>
      <c r="K28" s="234"/>
      <c r="L28" s="234"/>
      <c r="M28" s="234"/>
      <c r="N28" s="234"/>
      <c r="O28" s="234"/>
      <c r="P28" s="234"/>
      <c r="Q28" s="234"/>
      <c r="R28" s="234"/>
      <c r="S28" s="234"/>
      <c r="T28" s="234"/>
      <c r="U28" s="234"/>
      <c r="V28" s="234"/>
      <c r="W28" s="234"/>
      <c r="X28" s="234"/>
      <c r="Y28" s="234"/>
      <c r="Z28" s="234"/>
      <c r="AA28" s="234"/>
      <c r="AB28" s="234"/>
      <c r="AC28" s="234"/>
      <c r="AD28" s="234"/>
      <c r="AE28" s="234"/>
      <c r="AF28" s="235"/>
    </row>
    <row r="29" spans="1:32" s="219" customFormat="1" ht="9" customHeight="1" x14ac:dyDescent="0.3">
      <c r="A29" s="216"/>
      <c r="B29" s="217"/>
      <c r="C29" s="217"/>
      <c r="D29" s="217" t="s">
        <v>743</v>
      </c>
      <c r="E29" s="217"/>
      <c r="F29" s="217"/>
      <c r="G29" s="217"/>
      <c r="H29" s="217"/>
      <c r="I29" s="217"/>
      <c r="J29" s="217"/>
      <c r="K29" s="217"/>
      <c r="L29" s="217"/>
      <c r="M29" s="217"/>
      <c r="N29" s="217"/>
      <c r="O29" s="217" t="s">
        <v>744</v>
      </c>
      <c r="P29" s="217"/>
      <c r="Q29" s="217"/>
      <c r="R29" s="217"/>
      <c r="S29" s="217"/>
      <c r="T29" s="217"/>
      <c r="U29" s="217"/>
      <c r="V29" s="217"/>
      <c r="W29" s="217"/>
      <c r="X29" s="217"/>
      <c r="Y29" s="217"/>
      <c r="Z29" s="217"/>
      <c r="AA29" s="217"/>
      <c r="AB29" s="217"/>
      <c r="AC29" s="217"/>
      <c r="AD29" s="217"/>
      <c r="AE29" s="217"/>
      <c r="AF29" s="218"/>
    </row>
    <row r="30" spans="1:32" s="223" customFormat="1" ht="9.9" customHeight="1" x14ac:dyDescent="0.3">
      <c r="A30" s="220"/>
      <c r="B30" s="221"/>
      <c r="C30" s="221"/>
      <c r="D30" s="221" t="s">
        <v>843</v>
      </c>
      <c r="E30" s="221"/>
      <c r="F30" s="221"/>
      <c r="G30" s="221"/>
      <c r="H30" s="221"/>
      <c r="I30" s="221"/>
      <c r="J30" s="221"/>
      <c r="K30" s="221"/>
      <c r="L30" s="221"/>
      <c r="M30" s="221"/>
      <c r="N30" s="221"/>
      <c r="O30" s="221" t="s">
        <v>745</v>
      </c>
      <c r="P30" s="221"/>
      <c r="Q30" s="221"/>
      <c r="R30" s="221"/>
      <c r="S30" s="221"/>
      <c r="T30" s="221"/>
      <c r="U30" s="221"/>
      <c r="V30" s="221"/>
      <c r="W30" s="221"/>
      <c r="X30" s="221"/>
      <c r="Y30" s="221"/>
      <c r="Z30" s="221"/>
      <c r="AA30" s="221"/>
      <c r="AB30" s="221"/>
      <c r="AC30" s="221"/>
      <c r="AD30" s="221"/>
      <c r="AE30" s="221"/>
      <c r="AF30" s="222"/>
    </row>
    <row r="31" spans="1:32" s="223" customFormat="1" ht="2.1" customHeight="1" x14ac:dyDescent="0.3">
      <c r="A31" s="220"/>
      <c r="B31" s="221"/>
      <c r="C31" s="221"/>
      <c r="D31" s="221"/>
      <c r="E31" s="221"/>
      <c r="F31" s="221"/>
      <c r="G31" s="221"/>
      <c r="H31" s="221"/>
      <c r="I31" s="221"/>
      <c r="J31" s="221"/>
      <c r="K31" s="221"/>
      <c r="L31" s="221"/>
      <c r="M31" s="221"/>
      <c r="N31" s="221"/>
      <c r="O31" s="221"/>
      <c r="P31" s="221"/>
      <c r="Q31" s="221"/>
      <c r="R31" s="221"/>
      <c r="S31" s="221"/>
      <c r="T31" s="221"/>
      <c r="U31" s="221"/>
      <c r="V31" s="221"/>
      <c r="W31" s="221"/>
      <c r="X31" s="221"/>
      <c r="Y31" s="221"/>
      <c r="Z31" s="221"/>
      <c r="AA31" s="221"/>
      <c r="AB31" s="221"/>
      <c r="AC31" s="221"/>
      <c r="AD31" s="221"/>
      <c r="AE31" s="221"/>
      <c r="AF31" s="222"/>
    </row>
    <row r="32" spans="1:32" ht="15" customHeight="1" x14ac:dyDescent="0.3">
      <c r="A32" s="233"/>
      <c r="B32" s="234"/>
      <c r="C32" s="245" t="s">
        <v>825</v>
      </c>
      <c r="D32" s="227" t="s">
        <v>824</v>
      </c>
      <c r="E32" s="228" t="s">
        <v>827</v>
      </c>
      <c r="F32" s="228" t="str" cm="1">
        <f t="array" ref="F32">IFERROR(IF('C172 R-S'!H8='C172 R-S'!AR33,'C172 R-S'!AU33,IF('C172 R-S'!H8='C172 R-S'!AR34,'C172 R-S'!AU34,IF('C172 R-S'!H8='C172 R-S'!AR35,'C172 R-S'!AU35,IF('C172 R-S'!H8='C172 R-S'!AR36,'C172 R-S'!AU36,IF('C172 R-S'!H8='C172 R-S'!AR37,'C172 R-S'!AU37,IF('C172 R-S'!H8='C172 R-S'!AR38,'C172 R-S'!AU38,IF('C172 R-S'!H8='C172 R-S'!AR39,'C172 R-S'!AU39,IF('C172 R-S'!H8='C172 R-S'!AR40,'C172 R-S'!AU40,IF('C172 R-S'!H8='C172 R-S'!AR41,'C172 R-S'!AU41,IF('C172 R-S'!H8='C172 R-S'!AR42,'C172 R-S'!AU42,IF('C172 R-S'!H8='C172 R-S'!AR43,'C172 R-S'!AU43,IF('C172 R-S'!H8='C172 R-S'!AR44,'C172 R-S'!AU44,IF('C172 R-S'!H8='C172 R-S'!AR45,'C172 R-S'!AU45,IF('C172 R-S'!H8='C172 R-S'!AR46,'C172 R-S'!AU46,IF('C172 R-S'!H8='C172 R-S'!AR47,'C172 R-S'!AU47,IF('C172 R-S'!H8='C172 R-S'!AR48,'C172 R-S'!AU48,IF('C172 R-S'!H8='C172 R-S'!AR49,'C172 R-S'!AU49,IF('C172 R-S'!H8='C172 R-S'!AR50,'C172 R-S'!AU59,IF('C172 R-S'!H8='C172 R-S'!AR51,'C172 R-S'!AU51,IF('C172 R-S'!H8='C172 R-S'!AR52,'C172 R-S'!AU52,IF('C172 R-S'!H8='C172 R-S'!AR53,'C172 R-S'!AU53,IF('C172 R-S'!H8='C172 R-S'!AR54,'C172 R-S'!AU54,IF('C172 R-S'!H8='C172 R-S'!AR55,'C172 R-S'!AU55,IF('C172 R-S'!H8='C172 R-S'!AR56,'C172 R-S'!AU56,IF('C172 R-S'!H8='C172 R-S'!AR57,'C172 R-S'!AU57,IF('C172 R-S'!H8='C172 R-S'!AR58,'C172 R-S'!AU58,IF('C172 R-S'!H8='C172 R-S'!AR59,'C172 R-S'!AU59,IF('C172 R-S'!H8='C172 R-S'!AR60,'C172 R-S'!AU60,IF('C172 R-S'!H8='C172 R-S'!AR61,'C172 R-S'!AU61,IF('C172 R-S'!H8='C172 R-S'!AR62,'C172 R-S'!AU62,IF('C172 R-S'!H8='C172 R-S'!AR63,'C172 R-S'!AU63,IF('C172 R-S'!H8='C172 R-S'!AR64,'C172 R-S'!AU64,IF('C172 R-S'!H8='C172 R-S'!AR65,'C172 R-S'!AU65,”?”))))))))))))))))))))))))))))))))),"?")</f>
        <v>?</v>
      </c>
      <c r="G32" s="229" t="str" cm="1">
        <f t="array" ref="G32">IFERROR(IF('C172 R-S'!H8='C172 R-S'!AR33,'C172 R-S'!AV33,
IF('C172 R-S'!H8='C172 R-S'!AR34,'C172 R-S'!AV34,
IF('C172 R-S'!H8='C172 R-S'!AR35,'C172 R-S'!AV35,
IF('C172 R-S'!H8='C172 R-S'!AR36,'C172 R-S'!AV36,
IF('C172 R-S'!H8='C172 R-S'!AR37,'C172 R-S'!AV37,
IF('C172 R-S'!H8='C172 R-S'!AR38,'C172 R-S'!AV38,
IF('C172 R-S'!H8='C172 R-S'!AR39,'C172 R-S'!AV39,
IF('C172 R-S'!H8='C172 R-S'!AR40,'C172 R-S'!AV40,
IF('C172 R-S'!H8='C172 R-S'!AR41,'C172 R-S'!AV41,
IF('C172 R-S'!H8='C172 R-S'!AR42,'C172 R-S'!AV42,
IF('C172 R-S'!H8='C172 R-S'!AR43,'C172 R-S'!AV43,
IF('C172 R-S'!H8='C172 R-S'!AR44,'C172 R-S'!AV44,
IF('C172 R-S'!H9='C172 R-S'!AR45,'C172 R-S'!AV45,
IF('C172 R-S'!H9='C172 R-S'!AR46,'C172 R-S'!AV46,
IF('C172 R-S'!H9='C172 R-S'!AR47,'C172 R-S'!AV47,
IF('C172 R-S'!H9='C172 R-S'!AR48,'C172 R-S'!AV48,
IF('C172 R-S'!H9='C172 R-S'!AR49,'C172 R-S'!AV49,
IF('C172 R-S'!H9='C172 R-S'!AR50,'C172 R-S'!AV59,
IF('C172 R-S'!H9='C172 R-S'!AR51,'C172 R-S'!AV51,
IF('C172 R-S'!H9='C172 R-S'!AR52,'C172 R-S'!AV52,
IF('C172 R-S'!H9='C172 R-S'!AR53,'C172 R-S'!AV53,
IF('C172 R-S'!H9='C172 R-S'!AR54,'C172 R-S'!AV54,
IF('C172 R-S'!H9='C172 R-S'!AR55,'C172 R-S'!AV55,
IF('C172 R-S'!H9='C172 R-S'!AR56,'C172 R-S'!AV56,
IF('C172 R-S'!H9='C172 R-S'!AR57,'C172 R-S'!AV57,
IF('C172 R-S'!H9='C172 R-S'!AR58,'C172 R-S'!AV58,
IF('C172 R-S'!H9='C172 R-S'!AR59,'C172 R-S'!AV59,
IF('C172 R-S'!H9='C172 R-S'!AR60,'C172 R-S'!AV60,
IF('C172 R-S'!H9='C172 R-S'!AR61,'C172 R-S'!AV61,
IF('C172 R-S'!H9='C172 R-S'!AR62,'C172 R-S'!AV62,
IF('C172 R-S'!H9='C172 R-S'!AR63,'C172 R-S'!AV63,
IF('C172 R-S'!H9='C172 R-S'!AR64,'C172 R-S'!AV64,
IF('C172 R-S'!H9='C172 R-S'!AR65,'C172 R-S'!AV65,”X”))))))))))))))))))))))))))))))))),"?")</f>
        <v>?</v>
      </c>
      <c r="H32" s="246"/>
      <c r="I32" s="234"/>
      <c r="J32" s="234"/>
      <c r="K32" s="234"/>
      <c r="L32" s="234"/>
      <c r="M32" s="234"/>
      <c r="N32" s="284"/>
      <c r="O32" s="285"/>
      <c r="P32" s="285"/>
      <c r="Q32" s="286"/>
      <c r="R32" s="514" t="s">
        <v>821</v>
      </c>
      <c r="S32" s="515"/>
      <c r="T32" s="515"/>
      <c r="U32" s="234"/>
      <c r="V32" s="234"/>
      <c r="W32" s="234"/>
      <c r="X32" s="234"/>
      <c r="Y32" s="234"/>
      <c r="Z32" s="234"/>
      <c r="AA32" s="234"/>
      <c r="AB32" s="234"/>
      <c r="AC32" s="234"/>
      <c r="AD32" s="234"/>
      <c r="AE32" s="234"/>
      <c r="AF32" s="235"/>
    </row>
    <row r="33" spans="1:32" ht="5.0999999999999996" customHeight="1" x14ac:dyDescent="0.3">
      <c r="A33" s="233"/>
      <c r="B33" s="234"/>
      <c r="C33" s="247"/>
      <c r="D33" s="247"/>
      <c r="E33" s="247"/>
      <c r="F33" s="247"/>
      <c r="G33" s="247"/>
      <c r="H33" s="247"/>
      <c r="I33" s="234"/>
      <c r="J33" s="234"/>
      <c r="K33" s="234"/>
      <c r="L33" s="234"/>
      <c r="M33" s="234"/>
      <c r="N33" s="234"/>
      <c r="O33" s="234"/>
      <c r="P33" s="234"/>
      <c r="Q33" s="234"/>
      <c r="R33" s="234"/>
      <c r="S33" s="234"/>
      <c r="T33" s="234"/>
      <c r="U33" s="234"/>
      <c r="V33" s="234"/>
      <c r="W33" s="234"/>
      <c r="X33" s="234"/>
      <c r="Y33" s="234"/>
      <c r="Z33" s="234"/>
      <c r="AA33" s="234"/>
      <c r="AB33" s="234"/>
      <c r="AC33" s="234"/>
      <c r="AD33" s="234"/>
      <c r="AE33" s="234"/>
      <c r="AF33" s="235"/>
    </row>
    <row r="34" spans="1:32" s="219" customFormat="1" ht="9" customHeight="1" x14ac:dyDescent="0.3">
      <c r="A34" s="216"/>
      <c r="B34" s="526" t="s">
        <v>746</v>
      </c>
      <c r="C34" s="526"/>
      <c r="D34" s="526"/>
      <c r="E34" s="526"/>
      <c r="F34" s="526"/>
      <c r="G34" s="526"/>
      <c r="H34" s="526"/>
      <c r="I34" s="526"/>
      <c r="J34" s="217"/>
      <c r="K34" s="217" t="s">
        <v>747</v>
      </c>
      <c r="L34" s="217"/>
      <c r="M34" s="217"/>
      <c r="N34" s="217"/>
      <c r="O34" s="217" t="s">
        <v>144</v>
      </c>
      <c r="P34" s="217"/>
      <c r="Q34" s="217"/>
      <c r="R34" s="217"/>
      <c r="S34" s="217"/>
      <c r="T34" s="217"/>
      <c r="U34" s="217"/>
      <c r="V34" s="217"/>
      <c r="W34" s="217"/>
      <c r="X34" s="217"/>
      <c r="Y34" s="217"/>
      <c r="Z34" s="217"/>
      <c r="AA34" s="217"/>
      <c r="AB34" s="217"/>
      <c r="AC34" s="217"/>
      <c r="AD34" s="217"/>
      <c r="AE34" s="217"/>
      <c r="AF34" s="218"/>
    </row>
    <row r="35" spans="1:32" s="223" customFormat="1" ht="9.9" customHeight="1" x14ac:dyDescent="0.3">
      <c r="A35" s="220"/>
      <c r="B35" s="517" t="s">
        <v>842</v>
      </c>
      <c r="C35" s="517"/>
      <c r="D35" s="517"/>
      <c r="E35" s="517"/>
      <c r="F35" s="517"/>
      <c r="G35" s="517"/>
      <c r="H35" s="517"/>
      <c r="I35" s="221"/>
      <c r="J35" s="221"/>
      <c r="K35" s="221" t="s">
        <v>748</v>
      </c>
      <c r="L35" s="221"/>
      <c r="M35" s="221"/>
      <c r="N35" s="221"/>
      <c r="O35" s="221" t="s">
        <v>841</v>
      </c>
      <c r="P35" s="221"/>
      <c r="Q35" s="221"/>
      <c r="R35" s="221"/>
      <c r="S35" s="221"/>
      <c r="T35" s="221"/>
      <c r="U35" s="221"/>
      <c r="V35" s="221"/>
      <c r="W35" s="221"/>
      <c r="X35" s="221"/>
      <c r="Y35" s="221"/>
      <c r="Z35" s="221"/>
      <c r="AA35" s="221"/>
      <c r="AB35" s="221"/>
      <c r="AC35" s="221"/>
      <c r="AD35" s="221"/>
      <c r="AE35" s="221"/>
      <c r="AF35" s="222"/>
    </row>
    <row r="36" spans="1:32" s="223" customFormat="1" ht="2.1" customHeight="1" x14ac:dyDescent="0.3">
      <c r="A36" s="220"/>
      <c r="B36" s="221"/>
      <c r="C36" s="221"/>
      <c r="D36" s="221"/>
      <c r="E36" s="221"/>
      <c r="F36" s="221"/>
      <c r="G36" s="221"/>
      <c r="H36" s="221"/>
      <c r="I36" s="221"/>
      <c r="J36" s="221"/>
      <c r="K36" s="221"/>
      <c r="L36" s="221"/>
      <c r="M36" s="221"/>
      <c r="N36" s="221"/>
      <c r="O36" s="221"/>
      <c r="P36" s="221"/>
      <c r="Q36" s="221"/>
      <c r="R36" s="221"/>
      <c r="S36" s="221"/>
      <c r="T36" s="221"/>
      <c r="U36" s="221"/>
      <c r="V36" s="221"/>
      <c r="W36" s="221"/>
      <c r="X36" s="221"/>
      <c r="Y36" s="221"/>
      <c r="Z36" s="221"/>
      <c r="AA36" s="221"/>
      <c r="AB36" s="221"/>
      <c r="AC36" s="221"/>
      <c r="AD36" s="221"/>
      <c r="AE36" s="221"/>
      <c r="AF36" s="222"/>
    </row>
    <row r="37" spans="1:32" ht="15.9" customHeight="1" x14ac:dyDescent="0.3">
      <c r="A37" s="233"/>
      <c r="B37" s="226" t="s">
        <v>825</v>
      </c>
      <c r="C37" s="227"/>
      <c r="D37" s="228" t="s">
        <v>820</v>
      </c>
      <c r="E37" s="228">
        <v>0</v>
      </c>
      <c r="F37" s="228">
        <v>9</v>
      </c>
      <c r="G37" s="229">
        <v>5</v>
      </c>
      <c r="H37" s="234"/>
      <c r="I37" s="227"/>
      <c r="J37" s="228" t="s">
        <v>413</v>
      </c>
      <c r="K37" s="285"/>
      <c r="L37" s="285"/>
      <c r="M37" s="229">
        <v>5</v>
      </c>
      <c r="N37" s="234"/>
      <c r="O37" s="538"/>
      <c r="P37" s="538"/>
      <c r="Q37" s="538"/>
      <c r="R37" s="538"/>
      <c r="S37" s="538"/>
      <c r="T37" s="538"/>
      <c r="U37" s="538"/>
      <c r="V37" s="538"/>
      <c r="W37" s="538"/>
      <c r="X37" s="538"/>
      <c r="Y37" s="538"/>
      <c r="Z37" s="538"/>
      <c r="AA37" s="538"/>
      <c r="AB37" s="538"/>
      <c r="AC37" s="538"/>
      <c r="AD37" s="538"/>
      <c r="AE37" s="538"/>
      <c r="AF37" s="538"/>
    </row>
    <row r="38" spans="1:32" ht="15.9" customHeight="1" x14ac:dyDescent="0.3">
      <c r="A38" s="539"/>
      <c r="B38" s="539"/>
      <c r="C38" s="539"/>
      <c r="D38" s="539"/>
      <c r="E38" s="539"/>
      <c r="F38" s="539"/>
      <c r="G38" s="539"/>
      <c r="H38" s="539"/>
      <c r="I38" s="539"/>
      <c r="J38" s="539"/>
      <c r="K38" s="539"/>
      <c r="L38" s="539"/>
      <c r="M38" s="539"/>
      <c r="N38" s="539"/>
      <c r="O38" s="539"/>
      <c r="P38" s="539"/>
      <c r="Q38" s="539"/>
      <c r="R38" s="539"/>
      <c r="S38" s="539"/>
      <c r="T38" s="539"/>
      <c r="U38" s="539"/>
      <c r="V38" s="539"/>
      <c r="W38" s="539"/>
      <c r="X38" s="539"/>
      <c r="Y38" s="539"/>
      <c r="Z38" s="539"/>
      <c r="AA38" s="539"/>
      <c r="AB38" s="539"/>
      <c r="AC38" s="539"/>
      <c r="AD38" s="539"/>
      <c r="AE38" s="539"/>
      <c r="AF38" s="539"/>
    </row>
    <row r="39" spans="1:32" ht="15.9" customHeight="1" x14ac:dyDescent="0.3">
      <c r="A39" s="539"/>
      <c r="B39" s="539"/>
      <c r="C39" s="539"/>
      <c r="D39" s="539"/>
      <c r="E39" s="539"/>
      <c r="F39" s="539"/>
      <c r="G39" s="539"/>
      <c r="H39" s="539"/>
      <c r="I39" s="539"/>
      <c r="J39" s="539"/>
      <c r="K39" s="539"/>
      <c r="L39" s="539"/>
      <c r="M39" s="539"/>
      <c r="N39" s="539"/>
      <c r="O39" s="539"/>
      <c r="P39" s="539"/>
      <c r="Q39" s="539"/>
      <c r="R39" s="539"/>
      <c r="S39" s="539"/>
      <c r="T39" s="539"/>
      <c r="U39" s="539"/>
      <c r="V39" s="539"/>
      <c r="W39" s="539"/>
      <c r="X39" s="539"/>
      <c r="Y39" s="539"/>
      <c r="Z39" s="539"/>
      <c r="AA39" s="539"/>
      <c r="AB39" s="539"/>
      <c r="AC39" s="539"/>
      <c r="AD39" s="539"/>
      <c r="AE39" s="539"/>
      <c r="AF39" s="539"/>
    </row>
    <row r="40" spans="1:32" ht="15.9" customHeight="1" x14ac:dyDescent="0.3">
      <c r="A40" s="539"/>
      <c r="B40" s="539"/>
      <c r="C40" s="539"/>
      <c r="D40" s="539"/>
      <c r="E40" s="539"/>
      <c r="F40" s="539"/>
      <c r="G40" s="539"/>
      <c r="H40" s="539"/>
      <c r="I40" s="539"/>
      <c r="J40" s="539"/>
      <c r="K40" s="539"/>
      <c r="L40" s="539"/>
      <c r="M40" s="539"/>
      <c r="N40" s="539"/>
      <c r="O40" s="539"/>
      <c r="P40" s="539"/>
      <c r="Q40" s="539"/>
      <c r="R40" s="539"/>
      <c r="S40" s="539"/>
      <c r="T40" s="539"/>
      <c r="U40" s="539"/>
      <c r="V40" s="539"/>
      <c r="W40" s="539"/>
      <c r="X40" s="539"/>
      <c r="Y40" s="539"/>
      <c r="Z40" s="539"/>
      <c r="AA40" s="539"/>
      <c r="AB40" s="539"/>
      <c r="AC40" s="539"/>
      <c r="AD40" s="539"/>
      <c r="AE40" s="539"/>
      <c r="AF40" s="539"/>
    </row>
    <row r="41" spans="1:32" ht="15.9" customHeight="1" x14ac:dyDescent="0.3">
      <c r="A41" s="539"/>
      <c r="B41" s="539"/>
      <c r="C41" s="539"/>
      <c r="D41" s="539"/>
      <c r="E41" s="539"/>
      <c r="F41" s="539"/>
      <c r="G41" s="539"/>
      <c r="H41" s="539"/>
      <c r="I41" s="539"/>
      <c r="J41" s="539"/>
      <c r="K41" s="539"/>
      <c r="L41" s="539"/>
      <c r="M41" s="539"/>
      <c r="N41" s="539"/>
      <c r="O41" s="539"/>
      <c r="P41" s="539"/>
      <c r="Q41" s="539"/>
      <c r="R41" s="539"/>
      <c r="S41" s="539"/>
      <c r="T41" s="539"/>
      <c r="U41" s="539"/>
      <c r="V41" s="539"/>
      <c r="W41" s="539"/>
      <c r="X41" s="539"/>
      <c r="Y41" s="539"/>
      <c r="Z41" s="539"/>
      <c r="AA41" s="539"/>
      <c r="AB41" s="539"/>
      <c r="AC41" s="539"/>
      <c r="AD41" s="514" t="s">
        <v>821</v>
      </c>
      <c r="AE41" s="515"/>
      <c r="AF41" s="516"/>
    </row>
    <row r="42" spans="1:32" ht="5.0999999999999996" customHeight="1" x14ac:dyDescent="0.3">
      <c r="A42" s="233"/>
      <c r="B42" s="234"/>
      <c r="C42" s="234"/>
      <c r="D42" s="234"/>
      <c r="E42" s="234"/>
      <c r="F42" s="234"/>
      <c r="G42" s="234"/>
      <c r="H42" s="234"/>
      <c r="I42" s="234"/>
      <c r="J42" s="234"/>
      <c r="K42" s="234"/>
      <c r="L42" s="234"/>
      <c r="M42" s="234"/>
      <c r="N42" s="234"/>
      <c r="O42" s="234"/>
      <c r="P42" s="234"/>
      <c r="Q42" s="234"/>
      <c r="R42" s="234"/>
      <c r="S42" s="234"/>
      <c r="T42" s="234"/>
      <c r="U42" s="234"/>
      <c r="V42" s="234"/>
      <c r="W42" s="234"/>
      <c r="X42" s="234"/>
      <c r="Y42" s="234"/>
      <c r="Z42" s="234"/>
      <c r="AA42" s="234"/>
      <c r="AB42" s="234"/>
      <c r="AC42" s="234"/>
      <c r="AD42" s="234"/>
      <c r="AE42" s="234"/>
      <c r="AF42" s="235"/>
    </row>
    <row r="43" spans="1:32" s="219" customFormat="1" ht="9" customHeight="1" x14ac:dyDescent="0.3">
      <c r="A43" s="216"/>
      <c r="B43" s="217"/>
      <c r="C43" s="217" t="s">
        <v>749</v>
      </c>
      <c r="D43" s="217"/>
      <c r="E43" s="217"/>
      <c r="F43" s="217"/>
      <c r="G43" s="217"/>
      <c r="H43" s="217"/>
      <c r="I43" s="217"/>
      <c r="J43" s="217"/>
      <c r="K43" s="526" t="s">
        <v>800</v>
      </c>
      <c r="L43" s="526"/>
      <c r="M43" s="526"/>
      <c r="N43" s="526"/>
      <c r="O43" s="217"/>
      <c r="P43" s="217"/>
      <c r="Q43" s="217"/>
      <c r="R43" s="217"/>
      <c r="S43" s="217" t="s">
        <v>802</v>
      </c>
      <c r="T43" s="217"/>
      <c r="U43" s="217"/>
      <c r="V43" s="217"/>
      <c r="W43" s="217"/>
      <c r="X43" s="217"/>
      <c r="Y43" s="217"/>
      <c r="Z43" s="217" t="s">
        <v>804</v>
      </c>
      <c r="AA43" s="217"/>
      <c r="AB43" s="217"/>
      <c r="AC43" s="217"/>
      <c r="AD43" s="217"/>
      <c r="AE43" s="217"/>
      <c r="AF43" s="218"/>
    </row>
    <row r="44" spans="1:32" s="223" customFormat="1" ht="9" customHeight="1" x14ac:dyDescent="0.3">
      <c r="A44" s="220"/>
      <c r="B44" s="221"/>
      <c r="C44" s="221"/>
      <c r="D44" s="221" t="s">
        <v>750</v>
      </c>
      <c r="E44" s="221"/>
      <c r="F44" s="221"/>
      <c r="G44" s="221"/>
      <c r="H44" s="221"/>
      <c r="I44" s="221"/>
      <c r="J44" s="221"/>
      <c r="K44" s="517" t="s">
        <v>801</v>
      </c>
      <c r="L44" s="517"/>
      <c r="M44" s="517"/>
      <c r="N44" s="517"/>
      <c r="O44" s="221"/>
      <c r="P44" s="221"/>
      <c r="Q44" s="221"/>
      <c r="R44" s="221"/>
      <c r="S44" s="221" t="s">
        <v>803</v>
      </c>
      <c r="T44" s="221"/>
      <c r="U44" s="221"/>
      <c r="V44" s="221"/>
      <c r="W44" s="221"/>
      <c r="X44" s="221"/>
      <c r="Y44" s="221"/>
      <c r="Z44" s="221" t="s">
        <v>805</v>
      </c>
      <c r="AA44" s="221"/>
      <c r="AB44" s="221"/>
      <c r="AC44" s="221"/>
      <c r="AD44" s="221"/>
      <c r="AE44" s="221"/>
      <c r="AF44" s="222"/>
    </row>
    <row r="45" spans="1:32" s="223" customFormat="1" ht="8.1" customHeight="1" x14ac:dyDescent="0.3">
      <c r="A45" s="220"/>
      <c r="B45" s="221"/>
      <c r="C45" s="221"/>
      <c r="D45" s="221"/>
      <c r="E45" s="221"/>
      <c r="F45" s="221"/>
      <c r="G45" s="221"/>
      <c r="H45" s="221"/>
      <c r="I45" s="221"/>
      <c r="J45" s="221"/>
      <c r="K45" s="221"/>
      <c r="L45" s="221" t="s">
        <v>751</v>
      </c>
      <c r="M45" s="221"/>
      <c r="N45" s="221" t="s">
        <v>752</v>
      </c>
      <c r="O45" s="221"/>
      <c r="P45" s="221"/>
      <c r="Q45" s="221"/>
      <c r="R45" s="221"/>
      <c r="S45" s="221"/>
      <c r="T45" s="221"/>
      <c r="U45" s="221"/>
      <c r="V45" s="221"/>
      <c r="W45" s="221"/>
      <c r="X45" s="221"/>
      <c r="Y45" s="221"/>
      <c r="Z45" s="221"/>
      <c r="AA45" s="221"/>
      <c r="AB45" s="221"/>
      <c r="AC45" s="221"/>
      <c r="AD45" s="221"/>
      <c r="AE45" s="221"/>
      <c r="AF45" s="222"/>
    </row>
    <row r="46" spans="1:32" s="223" customFormat="1" ht="2.1" customHeight="1" x14ac:dyDescent="0.3">
      <c r="A46" s="220"/>
      <c r="B46" s="221"/>
      <c r="C46" s="221"/>
      <c r="D46" s="221"/>
      <c r="E46" s="221"/>
      <c r="F46" s="221"/>
      <c r="G46" s="221"/>
      <c r="H46" s="221"/>
      <c r="I46" s="221"/>
      <c r="J46" s="221"/>
      <c r="K46" s="221"/>
      <c r="L46" s="221"/>
      <c r="M46" s="221"/>
      <c r="N46" s="221"/>
      <c r="O46" s="221"/>
      <c r="P46" s="221"/>
      <c r="Q46" s="221"/>
      <c r="R46" s="221"/>
      <c r="S46" s="221"/>
      <c r="T46" s="221"/>
      <c r="U46" s="221"/>
      <c r="V46" s="221"/>
      <c r="W46" s="221"/>
      <c r="X46" s="221"/>
      <c r="Y46" s="221"/>
      <c r="Z46" s="221"/>
      <c r="AA46" s="221"/>
      <c r="AB46" s="221"/>
      <c r="AC46" s="221"/>
      <c r="AD46" s="221"/>
      <c r="AE46" s="221"/>
      <c r="AF46" s="222"/>
    </row>
    <row r="47" spans="1:32" ht="15" customHeight="1" x14ac:dyDescent="0.3">
      <c r="A47" s="233"/>
      <c r="B47" s="234"/>
      <c r="C47" s="245" t="s">
        <v>825</v>
      </c>
      <c r="D47" s="227" t="s">
        <v>824</v>
      </c>
      <c r="E47" s="228" t="s">
        <v>827</v>
      </c>
      <c r="F47" s="228" t="str" cm="1">
        <f t="array" ref="F47">IFERROR(IF('C172 R-S'!H9='C172 R-S'!AR33,'C172 R-S'!AU33,
IF('C172 R-S'!H9='C172 R-S'!AR34,'C172 R-S'!AU34,
IF('C172 R-S'!H9='C172 R-S'!AR35,'C172 R-S'!AU35,
IF('C172 R-S'!H9='C172 R-S'!AR36,'C172 R-S'!AU36,
IF('C172 R-S'!H9='C172 R-S'!AR37,'C172 R-S'!AU37,
IF('C172 R-S'!H9='C172 R-S'!AR38,'C172 R-S'!AU38,
IF('C172 R-S'!H9='C172 R-S'!AR39,'C172 R-S'!AU39,
IF('C172 R-S'!H9='C172 R-S'!AR40,'C172 R-S'!AU40,
IF('C172 R-S'!H9='C172 R-S'!AR41,'C172 R-S'!AU41,
IF('C172 R-S'!H9='C172 R-S'!AR42,'C172 R-S'!AU42,
IF('C172 R-S'!H9='C172 R-S'!AR43,'C172 R-S'!AU43,
IF('C172 R-S'!H9='C172 R-S'!AR44,'C172 R-S'!AU44,
IF('C172 R-S'!H9='C172 R-S'!AR45,'C172 R-S'!AU45,
IF('C172 R-S'!H9='C172 R-S'!AR46,'C172 R-S'!AU46,
IF('C172 R-S'!H9='C172 R-S'!AR47,'C172 R-S'!AU47,
IF('C172 R-S'!H9='C172 R-S'!AR48,'C172 R-S'!AU48,
IF('C172 R-S'!H9='C172 R-S'!AR49,'C172 R-S'!AU49,
IF('C172 R-S'!H9='C172 R-S'!AR50,'C172 R-S'!AU59,
IF('C172 R-S'!H9='C172 R-S'!AR51,'C172 R-S'!AU51,
IF('C172 R-S'!H9='C172 R-S'!AR52,'C172 R-S'!AU52,
IF('C172 R-S'!H9='C172 R-S'!AR53,'C172 R-S'!AU53,
IF('C172 R-S'!H9='C172 R-S'!AR54,'C172 R-S'!AU54,
IF('C172 R-S'!H9='C172 R-S'!AR55,'C172 R-S'!AU55,
IF('C172 R-S'!H9='C172 R-S'!AR56,'C172 R-S'!AU56,
IF('C172 R-S'!H9='C172 R-S'!AR57,'C172 R-S'!AU57,
IF('C172 R-S'!H9='C172 R-S'!AR58,'C172 R-S'!AU58,
IF('C172 R-S'!H9='C172 R-S'!AR59,'C172 R-S'!AU59,
IF('C172 R-S'!H9='C172 R-S'!AR60,'C172 R-S'!AU60,
IF('C172 R-S'!H9='C172 R-S'!AR61,'C172 R-S'!AU61,
IF('C172 R-S'!H9='C172 R-S'!AR62,'C172 R-S'!AU62,
IF('C172 R-S'!H9='C172 R-S'!AR63,'C172 R-S'!AU63,
IF('C172 R-S'!H9='C172 R-S'!AR64,'C172 R-S'!AU64,
IF('C172 R-S'!H9='C172 R-S'!AR65,'C172 R-S'!AU65,”X”))))))))))))))))))))))))))))))))),"?")</f>
        <v>?</v>
      </c>
      <c r="G47" s="229" t="str" cm="1">
        <f t="array" ref="G47">IFERROR(IF('C172 R-S'!H9='C172 R-S'!AR33,'C172 R-S'!AV33,
IF('C172 R-S'!H9='C172 R-S'!AR34,'C172 R-S'!AV34,
IF('C172 R-S'!H9='C172 R-S'!AR35,'C172 R-S'!AV35,
IF('C172 R-S'!H9='C172 R-S'!AR36,'C172 R-S'!AV36,
IF('C172 R-S'!H9='C172 R-S'!AR37,'C172 R-S'!AV37,
IF('C172 R-S'!H9='C172 R-S'!AR38,'C172 R-S'!AV38,
IF('C172 R-S'!H9='C172 R-S'!AR39,'C172 R-S'!AV39,
IF('C172 R-S'!H9='C172 R-S'!AR40,'C172 R-S'!AV40,
IF('C172 R-S'!H9='C172 R-S'!AR41,'C172 R-S'!AV41,
IF('C172 R-S'!H9='C172 R-S'!AR42,'C172 R-S'!AV42,
IF('C172 R-S'!H9='C172 R-S'!AR43,'C172 R-S'!AV43,
IF('C172 R-S'!H9='C172 R-S'!AR44,'C172 R-S'!AV44,
IF('C172 R-S'!H9='C172 R-S'!AR45,'C172 R-S'!AV45,
IF('C172 R-S'!H9='C172 R-S'!AR46,'C172 R-S'!AV46,
IF('C172 R-S'!H9='C172 R-S'!AR47,'C172 R-S'!AV47,
IF('C172 R-S'!H9='C172 R-S'!AR48,'C172 R-S'!AV48,
IF('C172 R-S'!H9='C172 R-S'!AR49,'C172 R-S'!AV49,
IF('C172 R-S'!H9='C172 R-S'!AR50,'C172 R-S'!AV59,
IF('C172 R-S'!H9='C172 R-S'!AR51,'C172 R-S'!AV51,
IF('C172 R-S'!H9='C172 R-S'!AR52,'C172 R-S'!AV52,
IF('C172 R-S'!H9='C172 R-S'!AR53,'C172 R-S'!AV53,
IF('C172 R-S'!H9='C172 R-S'!AR54,'C172 R-S'!AV54,
IF('C172 R-S'!H9='C172 R-S'!AR55,'C172 R-S'!AV55,
IF('C172 R-S'!H9='C172 R-S'!AR56,'C172 R-S'!AV56,
IF('C172 R-S'!H9='C172 R-S'!AR57,'C172 R-S'!AV57,
IF('C172 R-S'!H9='C172 R-S'!AR58,'C172 R-S'!AV58,
IF('C172 R-S'!H9='C172 R-S'!AR59,'C172 R-S'!AV59,
IF('C172 R-S'!H9='C172 R-S'!AR60,'C172 R-S'!AV60,
IF('C172 R-S'!H9='C172 R-S'!AR61,'C172 R-S'!AV61,
IF('C172 R-S'!H9='C172 R-S'!AR62,'C172 R-S'!AV62,
IF('C172 R-S'!H9='C172 R-S'!AR63,'C172 R-S'!AV63,
IF('C172 R-S'!H9='C172 R-S'!AR64,'C172 R-S'!AV64,
IF('C172 R-S'!H9='C172 R-S'!AR65,'C172 R-S'!AV65,”X”))))))))))))))))))))))))))))))))),"?")</f>
        <v>?</v>
      </c>
      <c r="H47" s="234"/>
      <c r="I47" s="234"/>
      <c r="J47" s="234"/>
      <c r="K47" s="227">
        <v>0</v>
      </c>
      <c r="L47" s="285"/>
      <c r="M47" s="285"/>
      <c r="N47" s="286"/>
      <c r="O47" s="234"/>
      <c r="P47" s="234"/>
      <c r="Q47" s="234"/>
      <c r="R47" s="243"/>
      <c r="S47" s="227" t="s">
        <v>824</v>
      </c>
      <c r="T47" s="228" t="s">
        <v>827</v>
      </c>
      <c r="U47" s="228" t="str" cm="1">
        <f t="array" ref="U47">IFERROR(IF('C172 R-S'!L8='C172 R-S'!AR33,'C172 R-S'!AU33,
IF('C172 R-S'!L8='C172 R-S'!AR34,'C172 R-S'!AU34,
IF('C172 R-S'!L8='C172 R-S'!AR35,'C172 R-S'!AU35,
IF('C172 R-S'!L8='C172 R-S'!AR36,'C172 R-S'!AU36,
IF('C172 R-S'!L8='C172 R-S'!AR37,'C172 R-S'!AU37,
IF('C172 R-S'!L8='C172 R-S'!AR38,'C172 R-S'!AU38,
IF('C172 R-S'!L8='C172 R-S'!AR39,'C172 R-S'!AU39,
IF('C172 R-S'!L8='C172 R-S'!AR40,'C172 R-S'!AU40,
IF('C172 R-S'!L8='C172 R-S'!AR41,'C172 R-S'!AU41,
IF('C172 R-S'!L8='C172 R-S'!AR42,'C172 R-S'!AU42,
IF('C172 R-S'!L8='C172 R-S'!AR43,'C172 R-S'!AU43,
IF('C172 R-S'!L8='C172 R-S'!AR44,'C172 R-S'!AU44,
IF('C172 R-S'!L8='C172 R-S'!AR45,'C172 R-S'!AU45,
IF('C172 R-S'!L8='C172 R-S'!AR46,'C172 R-S'!AU46,
IF('C172 R-S'!L8='C172 R-S'!AR47,'C172 R-S'!AU47,
IF('C172 R-S'!L8='C172 R-S'!AR48,'C172 R-S'!AU48,
IF('C172 R-S'!L8='C172 R-S'!AR49,'C172 R-S'!AU49,
IF('C172 R-S'!L8='C172 R-S'!AR50,'C172 R-S'!AU59,
IF('C172 R-S'!L8='C172 R-S'!AR51,'C172 R-S'!AU51,
IF('C172 R-S'!L8='C172 R-S'!AR52,'C172 R-S'!AU52,
IF('C172 R-S'!L8='C172 R-S'!AR53,'C172 R-S'!AU53,
IF('C172 R-S'!L8='C172 R-S'!AR54,'C172 R-S'!AU54,
IF('C172 R-S'!L8='C172 R-S'!AR55,'C172 R-S'!AU55,
IF('C172 R-S'!L8='C172 R-S'!AR56,'C172 R-S'!AU56,
IF('C172 R-S'!L8='C172 R-S'!AR57,'C172 R-S'!AU57,
IF('C172 R-S'!L8='C172 R-S'!AR58,'C172 R-S'!AU58,
IF('C172 R-S'!L8='C172 R-S'!AR59,'C172 R-S'!AU59,
IF('C172 R-S'!L8='C172 R-S'!AR60,'C172 R-S'!AU60,
IF('C172 R-S'!L8='C172 R-S'!AR61,'C172 R-S'!AU61,
IF('C172 R-S'!L8='C172 R-S'!AR62,'C172 R-S'!AU62,
IF('C172 R-S'!L8='C172 R-S'!AR63,'C172 R-S'!AU63,
IF('C172 R-S'!L8='C172 R-S'!AR64,'C172 R-S'!AU64,
IF('C172 R-S'!L8='C172 R-S'!AR65,'C172 R-S'!AU65,”X”))))))))))))))))))))))))))))))))),"?")</f>
        <v>?</v>
      </c>
      <c r="V47" s="229" t="str" cm="1">
        <f t="array" ref="V47">IFERROR(IF('C172 R-S'!L8='C172 R-S'!AR33,'C172 R-S'!AV33,
IF('C172 R-S'!L8='C172 R-S'!AR34,'C172 R-S'!AV34,
IF('C172 R-S'!L8='C172 R-S'!AR35,'C172 R-S'!AV35,
IF('C172 R-S'!L8='C172 R-S'!AR36,'C172 R-S'!AV36,
IF('C172 R-S'!L8='C172 R-S'!AR37,'C172 R-S'!AV37,
IF('C172 R-S'!L8='C172 R-S'!AR38,'C172 R-S'!AV38,
IF('C172 R-S'!L8='C172 R-S'!AR39,'C172 R-S'!AV39,
IF('C172 R-S'!L8='C172 R-S'!AR40,'C172 R-S'!AV40,
IF('C172 R-S'!L8='C172 R-S'!AR41,'C172 R-S'!AV41,
IF('C172 R-S'!L8='C172 R-S'!AR42,'C172 R-S'!AV42,
IF('C172 R-S'!L8='C172 R-S'!AR43,'C172 R-S'!AV43,
IF('C172 R-S'!L8='C172 R-S'!AR44,'C172 R-S'!AV44,
IF('C172 R-S'!L8='C172 R-S'!AR45,'C172 R-S'!AV45,
IF('C172 R-S'!L8='C172 R-S'!AR46,'C172 R-S'!AV46,
IF('C172 R-S'!L8='C172 R-S'!AR47,'C172 R-S'!AV47,
IF('C172 R-S'!L8='C172 R-S'!AR48,'C172 R-S'!AV48,
IF('C172 R-S'!L8='C172 R-S'!AR49,'C172 R-S'!AV49,
IF('C172 R-S'!L8='C172 R-S'!AR50,'C172 R-S'!AV59,
IF('C172 R-S'!L8='C172 R-S'!AR51,'C172 R-S'!AV51,
IF('C172 R-S'!L8='C172 R-S'!AR52,'C172 R-S'!AV52,
IF('C172 R-S'!L8='C172 R-S'!AR53,'C172 R-S'!AV53,
IF('C172 R-S'!L8='C172 R-S'!AR54,'C172 R-S'!AV54,
IF('C172 R-S'!L8='C172 R-S'!AR55,'C172 R-S'!AV55,
IF('C172 R-S'!L8='C172 R-S'!AR56,'C172 R-S'!AV56,
IF('C172 R-S'!L8='C172 R-S'!AR57,'C172 R-S'!AV57,
IF('C172 R-S'!L8='C172 R-S'!AR58,'C172 R-S'!AV58,
IF('C172 R-S'!L8='C172 R-S'!AR59,'C172 R-S'!AV59,
IF('C172 R-S'!L8='C172 R-S'!AR60,'C172 R-S'!AV60,
IF('C172 R-S'!L8='C172 R-S'!AR61,'C172 R-S'!AV61,
IF('C172 R-S'!L8='C172 R-S'!AR62,'C172 R-S'!AV62,
IF('C172 R-S'!L8='C172 R-S'!AR63,'C172 R-S'!AV63,
IF('C172 R-S'!L8='C172 R-S'!AR64,'C172 R-S'!AV64,
IF('C172 R-S'!L8='C172 R-S'!AR65,'C172 R-S'!AV65,”X”))))))))))))))))))))))))))))))))),"?")</f>
        <v>?</v>
      </c>
      <c r="W47" s="234"/>
      <c r="X47" s="234"/>
      <c r="Y47" s="243"/>
      <c r="Z47" s="227" t="s">
        <v>824</v>
      </c>
      <c r="AA47" s="228" t="s">
        <v>827</v>
      </c>
      <c r="AB47" s="228" t="str" cm="1">
        <f t="array" ref="AB47">IFERROR(IF('C172 R-S'!L9='C172 R-S'!AR33,'C172 R-S'!AU33,
IF('C172 R-S'!L9='C172 R-S'!AR34,'C172 R-S'!AU34,
IF('C172 R-S'!L9='C172 R-S'!AR35,'C172 R-S'!AU35,
IF('C172 R-S'!L9='C172 R-S'!AR36,'C172 R-S'!AU36,
IF('C172 R-S'!L9='C172 R-S'!AR37,'C172 R-S'!AU37,
IF('C172 R-S'!L9='C172 R-S'!AR38,'C172 R-S'!AU38,
IF('C172 R-S'!L9='C172 R-S'!AR39,'C172 R-S'!AU39,
IF('C172 R-S'!L9='C172 R-S'!AR40,'C172 R-S'!AU40,
IF('C172 R-S'!L9='C172 R-S'!AR41,'C172 R-S'!AU41,
IF('C172 R-S'!L9='C172 R-S'!AR42,'C172 R-S'!AU42,
IF('C172 R-S'!L9='C172 R-S'!AR43,'C172 R-S'!AU43,
IF('C172 R-S'!L9='C172 R-S'!AR44,'C172 R-S'!AU44,
IF('C172 R-S'!L9='C172 R-S'!AR45,'C172 R-S'!AU45,
IF('C172 R-S'!L9='C172 R-S'!AR46,'C172 R-S'!AU46,
IF('C172 R-S'!L9='C172 R-S'!AR47,'C172 R-S'!AU47,
IF('C172 R-S'!L9='C172 R-S'!AR48,'C172 R-S'!AU48,
IF('C172 R-S'!L9='C172 R-S'!AR49,'C172 R-S'!AU49,
IF('C172 R-S'!L9='C172 R-S'!AR50,'C172 R-S'!AU59,
IF('C172 R-S'!L9='C172 R-S'!AR51,'C172 R-S'!AU51,
IF('C172 R-S'!L9='C172 R-S'!AR52,'C172 R-S'!AU52,
IF('C172 R-S'!L9='C172 R-S'!AR53,'C172 R-S'!AU53,
IF('C172 R-S'!L9='C172 R-S'!AR54,'C172 R-S'!AU54,
IF('C172 R-S'!L9='C172 R-S'!AR55,'C172 R-S'!AU55,
IF('C172 R-S'!L9='C172 R-S'!AR56,'C172 R-S'!AU56,
IF('C172 R-S'!L9='C172 R-S'!AR57,'C172 R-S'!AU57,
IF('C172 R-S'!L9='C172 R-S'!AR58,'C172 R-S'!AU58,
IF('C172 R-S'!L9='C172 R-S'!AR59,'C172 R-S'!AU59,
IF('C172 R-S'!L9='C172 R-S'!AR60,'C172 R-S'!AU60,
IF('C172 R-S'!L9='C172 R-S'!AR61,'C172 R-S'!AU61,
IF('C172 R-S'!L9='C172 R-S'!AR62,'C172 R-S'!AU62,
IF('C172 R-S'!L9='C172 R-S'!AR63,'C172 R-S'!AU63,
IF('C172 R-S'!L9='C172 R-S'!AR64,'C172 R-S'!AU64,
IF('C172 R-S'!L9='C172 R-S'!AR65,'C172 R-S'!AU65,”X”))))))))))))))))))))))))))))))))),"?")</f>
        <v>?</v>
      </c>
      <c r="AC47" s="229" t="str" cm="1">
        <f t="array" ref="AC47">IFERROR(IF('C172 R-S'!L9='C172 R-S'!AR33,'C172 R-S'!AV33,
IF('C172 R-S'!L9='C172 R-S'!AR34,'C172 R-S'!AV34,
IF('C172 R-S'!L9='C172 R-S'!AR35,'C172 R-S'!AV35,
IF('C172 R-S'!L9='C172 R-S'!AR36,'C172 R-S'!AV36,
IF('C172 R-S'!L9='C172 R-S'!AR37,'C172 R-S'!AV37,
IF('C172 R-S'!L9='C172 R-S'!AR38,'C172 R-S'!AV38,
IF('C172 R-S'!L9='C172 R-S'!AR39,'C172 R-S'!AV39,
IF('C172 R-S'!L9='C172 R-S'!AR40,'C172 R-S'!AV40,
IF('C172 R-S'!L9='C172 R-S'!AR41,'C172 R-S'!AV41,
IF('C172 R-S'!L9='C172 R-S'!AR42,'C172 R-S'!AV42,
IF('C172 R-S'!L9='C172 R-S'!AR43,'C172 R-S'!AV43,
IF('C172 R-S'!L9='C172 R-S'!AR44,'C172 R-S'!AV44,
IF('C172 R-S'!L9='C172 R-S'!AR45,'C172 R-S'!AV45,
IF('C172 R-S'!L9='C172 R-S'!AR46,'C172 R-S'!AV46,
IF('C172 R-S'!L9='C172 R-S'!AR47,'C172 R-S'!AV47,
IF('C172 R-S'!L9='C172 R-S'!AR48,'C172 R-S'!AV48,
IF('C172 R-S'!L9='C172 R-S'!AR49,'C172 R-S'!AV49,
IF('C172 R-S'!L9='C172 R-S'!AR50,'C172 R-S'!AV59,
IF('C172 R-S'!L9='C172 R-S'!AR51,'C172 R-S'!AV51,
IF('C172 R-S'!L9='C172 R-S'!AR52,'C172 R-S'!AV52,
IF('C172 R-S'!L9='C172 R-S'!AR53,'C172 R-S'!AV53,
IF('C172 R-S'!L9='C172 R-S'!AR54,'C172 R-S'!AV54,
IF('C172 R-S'!L9='C172 R-S'!AR55,'C172 R-S'!AV55,
IF('C172 R-S'!L9='C172 R-S'!AR56,'C172 R-S'!AV56,
IF('C172 R-S'!L9='C172 R-S'!AR57,'C172 R-S'!AV57,
IF('C172 R-S'!L9='C172 R-S'!AR58,'C172 R-S'!AV58,
IF('C172 R-S'!L9='C172 R-S'!AR59,'C172 R-S'!AV59,
IF('C172 R-S'!L9='C172 R-S'!AR60,'C172 R-S'!AV60,
IF('C172 R-S'!L9='C172 R-S'!AR61,'C172 R-S'!AV61,
IF('C172 R-S'!L9='C172 R-S'!AR62,'C172 R-S'!AV62,
IF('C172 R-S'!L9='C172 R-S'!AR63,'C172 R-S'!AV63,
IF('C172 R-S'!L9='C172 R-S'!AR64,'C172 R-S'!AV64,
IF('C172 R-S'!L9='C172 R-S'!AR65,'C172 R-S'!AV65,”X”))))))))))))))))))))))))))))))))),"?")</f>
        <v>?</v>
      </c>
      <c r="AD47" s="514" t="s">
        <v>821</v>
      </c>
      <c r="AE47" s="515"/>
      <c r="AF47" s="516"/>
    </row>
    <row r="48" spans="1:32" ht="3.9" customHeight="1" x14ac:dyDescent="0.3">
      <c r="A48" s="233"/>
      <c r="B48" s="234"/>
      <c r="C48" s="243"/>
      <c r="D48" s="234"/>
      <c r="E48" s="234"/>
      <c r="F48" s="234"/>
      <c r="G48" s="234"/>
      <c r="H48" s="234"/>
      <c r="I48" s="234"/>
      <c r="J48" s="234"/>
      <c r="K48" s="234"/>
      <c r="L48" s="234"/>
      <c r="M48" s="234"/>
      <c r="N48" s="234"/>
      <c r="O48" s="234"/>
      <c r="P48" s="234"/>
      <c r="Q48" s="234"/>
      <c r="R48" s="243"/>
      <c r="S48" s="234"/>
      <c r="T48" s="234"/>
      <c r="U48" s="234"/>
      <c r="V48" s="234"/>
      <c r="W48" s="234"/>
      <c r="X48" s="234"/>
      <c r="Y48" s="243"/>
      <c r="Z48" s="234"/>
      <c r="AA48" s="234"/>
      <c r="AB48" s="234"/>
      <c r="AC48" s="234"/>
      <c r="AD48" s="234"/>
      <c r="AE48" s="249"/>
      <c r="AF48" s="218"/>
    </row>
    <row r="49" spans="1:32" s="253" customFormat="1" ht="11.1" customHeight="1" x14ac:dyDescent="0.2">
      <c r="A49" s="250"/>
      <c r="B49" s="251" t="s">
        <v>753</v>
      </c>
      <c r="C49" s="251"/>
      <c r="D49" s="251"/>
      <c r="E49" s="251"/>
      <c r="F49" s="251"/>
      <c r="G49" s="251"/>
      <c r="H49" s="251"/>
      <c r="I49" s="251"/>
      <c r="J49" s="251"/>
      <c r="K49" s="251"/>
      <c r="L49" s="251"/>
      <c r="M49" s="251"/>
      <c r="N49" s="251"/>
      <c r="O49" s="251"/>
      <c r="P49" s="251"/>
      <c r="Q49" s="251"/>
      <c r="R49" s="251"/>
      <c r="S49" s="251"/>
      <c r="T49" s="251"/>
      <c r="U49" s="251"/>
      <c r="V49" s="251"/>
      <c r="W49" s="251"/>
      <c r="X49" s="251"/>
      <c r="Y49" s="251"/>
      <c r="Z49" s="251"/>
      <c r="AA49" s="251"/>
      <c r="AB49" s="251"/>
      <c r="AC49" s="251"/>
      <c r="AD49" s="251"/>
      <c r="AE49" s="251"/>
      <c r="AF49" s="252"/>
    </row>
    <row r="50" spans="1:32" s="223" customFormat="1" ht="9" customHeight="1" x14ac:dyDescent="0.3">
      <c r="A50" s="220"/>
      <c r="B50" s="221"/>
      <c r="C50" s="221" t="s">
        <v>754</v>
      </c>
      <c r="D50" s="221"/>
      <c r="E50" s="221"/>
      <c r="F50" s="221"/>
      <c r="G50" s="221"/>
      <c r="H50" s="221"/>
      <c r="I50" s="221"/>
      <c r="J50" s="221"/>
      <c r="K50" s="221"/>
      <c r="L50" s="221"/>
      <c r="M50" s="221"/>
      <c r="N50" s="221"/>
      <c r="O50" s="221"/>
      <c r="P50" s="221"/>
      <c r="Q50" s="221"/>
      <c r="R50" s="221"/>
      <c r="S50" s="221"/>
      <c r="T50" s="221"/>
      <c r="U50" s="221"/>
      <c r="V50" s="221"/>
      <c r="W50" s="221"/>
      <c r="X50" s="221"/>
      <c r="Y50" s="221"/>
      <c r="Z50" s="221"/>
      <c r="AA50" s="221"/>
      <c r="AB50" s="221"/>
      <c r="AC50" s="221"/>
      <c r="AD50" s="221"/>
      <c r="AE50" s="221"/>
      <c r="AF50" s="222"/>
    </row>
    <row r="51" spans="1:32" s="223" customFormat="1" ht="3" customHeight="1" x14ac:dyDescent="0.3">
      <c r="A51" s="220"/>
      <c r="B51" s="221"/>
      <c r="C51" s="221"/>
      <c r="D51" s="221"/>
      <c r="E51" s="221"/>
      <c r="F51" s="221"/>
      <c r="G51" s="221"/>
      <c r="H51" s="221"/>
      <c r="I51" s="221"/>
      <c r="J51" s="221"/>
      <c r="K51" s="221"/>
      <c r="L51" s="221"/>
      <c r="M51" s="221"/>
      <c r="N51" s="221"/>
      <c r="O51" s="221"/>
      <c r="P51" s="221"/>
      <c r="Q51" s="221"/>
      <c r="R51" s="221"/>
      <c r="S51" s="221"/>
      <c r="T51" s="221"/>
      <c r="U51" s="221"/>
      <c r="V51" s="221"/>
      <c r="W51" s="221"/>
      <c r="X51" s="221"/>
      <c r="Y51" s="221"/>
      <c r="Z51" s="221"/>
      <c r="AA51" s="221"/>
      <c r="AB51" s="221"/>
      <c r="AC51" s="221"/>
      <c r="AD51" s="221"/>
      <c r="AE51" s="221"/>
      <c r="AF51" s="222"/>
    </row>
    <row r="52" spans="1:32" ht="15" customHeight="1" x14ac:dyDescent="0.3">
      <c r="A52" s="254" t="s">
        <v>735</v>
      </c>
      <c r="B52" s="527"/>
      <c r="C52" s="527"/>
      <c r="D52" s="527"/>
      <c r="E52" s="527"/>
      <c r="F52" s="527"/>
      <c r="G52" s="527"/>
      <c r="H52" s="527"/>
      <c r="I52" s="527"/>
      <c r="J52" s="527"/>
      <c r="K52" s="527"/>
      <c r="L52" s="527"/>
      <c r="M52" s="527"/>
      <c r="N52" s="527"/>
      <c r="O52" s="527"/>
      <c r="P52" s="527"/>
      <c r="Q52" s="527"/>
      <c r="R52" s="527"/>
      <c r="S52" s="527"/>
      <c r="T52" s="527"/>
      <c r="U52" s="527"/>
      <c r="V52" s="527"/>
      <c r="W52" s="527"/>
      <c r="X52" s="527"/>
      <c r="Y52" s="527"/>
      <c r="Z52" s="527"/>
      <c r="AA52" s="527"/>
      <c r="AB52" s="527"/>
      <c r="AC52" s="527"/>
      <c r="AD52" s="527"/>
      <c r="AE52" s="527"/>
      <c r="AF52" s="527"/>
    </row>
    <row r="53" spans="1:32" ht="15" customHeight="1" x14ac:dyDescent="0.3">
      <c r="A53" s="527"/>
      <c r="B53" s="527"/>
      <c r="C53" s="527"/>
      <c r="D53" s="527"/>
      <c r="E53" s="527"/>
      <c r="F53" s="527"/>
      <c r="G53" s="527"/>
      <c r="H53" s="527"/>
      <c r="I53" s="527"/>
      <c r="J53" s="527"/>
      <c r="K53" s="527"/>
      <c r="L53" s="527"/>
      <c r="M53" s="527"/>
      <c r="N53" s="527"/>
      <c r="O53" s="527"/>
      <c r="P53" s="527"/>
      <c r="Q53" s="527"/>
      <c r="R53" s="527"/>
      <c r="S53" s="527"/>
      <c r="T53" s="527"/>
      <c r="U53" s="527"/>
      <c r="V53" s="527"/>
      <c r="W53" s="527"/>
      <c r="X53" s="527"/>
      <c r="Y53" s="527"/>
      <c r="Z53" s="527"/>
      <c r="AA53" s="527"/>
      <c r="AB53" s="527"/>
      <c r="AC53" s="527"/>
      <c r="AD53" s="527"/>
      <c r="AE53" s="527"/>
      <c r="AF53" s="527"/>
    </row>
    <row r="54" spans="1:32" ht="15" customHeight="1" x14ac:dyDescent="0.3">
      <c r="A54" s="527"/>
      <c r="B54" s="527"/>
      <c r="C54" s="527"/>
      <c r="D54" s="527"/>
      <c r="E54" s="527"/>
      <c r="F54" s="527"/>
      <c r="G54" s="527"/>
      <c r="H54" s="527"/>
      <c r="I54" s="527"/>
      <c r="J54" s="527"/>
      <c r="K54" s="527"/>
      <c r="L54" s="527"/>
      <c r="M54" s="527"/>
      <c r="N54" s="527"/>
      <c r="O54" s="527"/>
      <c r="P54" s="527"/>
      <c r="Q54" s="527"/>
      <c r="R54" s="527"/>
      <c r="S54" s="527"/>
      <c r="T54" s="527"/>
      <c r="U54" s="527"/>
      <c r="V54" s="527"/>
      <c r="W54" s="527"/>
      <c r="X54" s="527"/>
      <c r="Y54" s="527"/>
      <c r="Z54" s="527"/>
      <c r="AA54" s="527"/>
      <c r="AB54" s="527"/>
      <c r="AC54" s="527"/>
      <c r="AD54" s="527"/>
      <c r="AE54" s="527"/>
      <c r="AF54" s="527"/>
    </row>
    <row r="55" spans="1:32" ht="15" customHeight="1" x14ac:dyDescent="0.3">
      <c r="A55" s="527"/>
      <c r="B55" s="527"/>
      <c r="C55" s="527"/>
      <c r="D55" s="527"/>
      <c r="E55" s="527"/>
      <c r="F55" s="527"/>
      <c r="G55" s="527"/>
      <c r="H55" s="527"/>
      <c r="I55" s="527"/>
      <c r="J55" s="527"/>
      <c r="K55" s="527"/>
      <c r="L55" s="527"/>
      <c r="M55" s="527"/>
      <c r="N55" s="527"/>
      <c r="O55" s="527"/>
      <c r="P55" s="527"/>
      <c r="Q55" s="527"/>
      <c r="R55" s="527"/>
      <c r="S55" s="527"/>
      <c r="T55" s="527"/>
      <c r="U55" s="527"/>
      <c r="V55" s="527"/>
      <c r="W55" s="527"/>
      <c r="X55" s="527"/>
      <c r="Y55" s="527"/>
      <c r="Z55" s="527"/>
      <c r="AA55" s="527"/>
      <c r="AB55" s="527"/>
      <c r="AC55" s="528"/>
      <c r="AD55" s="528"/>
      <c r="AE55" s="528"/>
      <c r="AF55" s="528"/>
    </row>
    <row r="56" spans="1:32" s="219" customFormat="1" ht="15" customHeight="1" x14ac:dyDescent="0.3">
      <c r="A56" s="527"/>
      <c r="B56" s="527"/>
      <c r="C56" s="527"/>
      <c r="D56" s="527"/>
      <c r="E56" s="527"/>
      <c r="F56" s="527"/>
      <c r="G56" s="527"/>
      <c r="H56" s="527"/>
      <c r="I56" s="527"/>
      <c r="J56" s="527"/>
      <c r="K56" s="527"/>
      <c r="L56" s="527"/>
      <c r="M56" s="527"/>
      <c r="N56" s="527"/>
      <c r="O56" s="527"/>
      <c r="P56" s="527"/>
      <c r="Q56" s="527"/>
      <c r="R56" s="527"/>
      <c r="S56" s="527"/>
      <c r="T56" s="527"/>
      <c r="U56" s="527"/>
      <c r="V56" s="527"/>
      <c r="W56" s="527"/>
      <c r="X56" s="527"/>
      <c r="Y56" s="527"/>
      <c r="Z56" s="527"/>
      <c r="AA56" s="527"/>
      <c r="AB56" s="529"/>
      <c r="AC56" s="255" t="s">
        <v>783</v>
      </c>
      <c r="AD56" s="530" t="s">
        <v>821</v>
      </c>
      <c r="AE56" s="531"/>
      <c r="AF56" s="531"/>
    </row>
    <row r="57" spans="1:32" ht="5.0999999999999996" customHeight="1" x14ac:dyDescent="0.3">
      <c r="A57" s="233"/>
      <c r="B57" s="234"/>
      <c r="C57" s="234"/>
      <c r="D57" s="234"/>
      <c r="E57" s="234"/>
      <c r="F57" s="234"/>
      <c r="G57" s="234"/>
      <c r="H57" s="234"/>
      <c r="I57" s="234"/>
      <c r="J57" s="234"/>
      <c r="K57" s="234"/>
      <c r="L57" s="234"/>
      <c r="M57" s="234"/>
      <c r="N57" s="234"/>
      <c r="O57" s="234"/>
      <c r="P57" s="234"/>
      <c r="Q57" s="234"/>
      <c r="R57" s="234"/>
      <c r="S57" s="234"/>
      <c r="T57" s="234"/>
      <c r="U57" s="234"/>
      <c r="V57" s="234"/>
      <c r="W57" s="234"/>
      <c r="X57" s="234"/>
      <c r="Y57" s="234"/>
      <c r="Z57" s="234"/>
      <c r="AA57" s="234"/>
      <c r="AB57" s="234"/>
      <c r="AC57" s="234"/>
      <c r="AD57" s="234"/>
      <c r="AE57" s="234"/>
      <c r="AF57" s="235"/>
    </row>
    <row r="58" spans="1:32" s="219" customFormat="1" ht="9.9" customHeight="1" x14ac:dyDescent="0.3">
      <c r="A58" s="532" t="s">
        <v>755</v>
      </c>
      <c r="B58" s="533"/>
      <c r="C58" s="533"/>
      <c r="D58" s="533"/>
      <c r="E58" s="533"/>
      <c r="F58" s="533"/>
      <c r="G58" s="533"/>
      <c r="H58" s="533"/>
      <c r="I58" s="533"/>
      <c r="J58" s="533"/>
      <c r="K58" s="533"/>
      <c r="L58" s="533"/>
      <c r="M58" s="533"/>
      <c r="N58" s="533"/>
      <c r="O58" s="533"/>
      <c r="P58" s="533"/>
      <c r="Q58" s="533"/>
      <c r="R58" s="533"/>
      <c r="S58" s="533"/>
      <c r="T58" s="533"/>
      <c r="U58" s="533"/>
      <c r="V58" s="533"/>
      <c r="W58" s="533"/>
      <c r="X58" s="533"/>
      <c r="Y58" s="533"/>
      <c r="Z58" s="533"/>
      <c r="AA58" s="533"/>
      <c r="AB58" s="533"/>
      <c r="AC58" s="533"/>
      <c r="AD58" s="533"/>
      <c r="AE58" s="533"/>
      <c r="AF58" s="534"/>
    </row>
    <row r="59" spans="1:32" s="223" customFormat="1" ht="11.1" customHeight="1" x14ac:dyDescent="0.3">
      <c r="A59" s="535" t="s">
        <v>756</v>
      </c>
      <c r="B59" s="536"/>
      <c r="C59" s="536"/>
      <c r="D59" s="536"/>
      <c r="E59" s="536"/>
      <c r="F59" s="536"/>
      <c r="G59" s="536"/>
      <c r="H59" s="536"/>
      <c r="I59" s="536"/>
      <c r="J59" s="536"/>
      <c r="K59" s="536"/>
      <c r="L59" s="536"/>
      <c r="M59" s="536"/>
      <c r="N59" s="536"/>
      <c r="O59" s="536"/>
      <c r="P59" s="536"/>
      <c r="Q59" s="536"/>
      <c r="R59" s="536"/>
      <c r="S59" s="536"/>
      <c r="T59" s="536"/>
      <c r="U59" s="536"/>
      <c r="V59" s="536"/>
      <c r="W59" s="536"/>
      <c r="X59" s="536"/>
      <c r="Y59" s="536"/>
      <c r="Z59" s="536"/>
      <c r="AA59" s="536"/>
      <c r="AB59" s="536"/>
      <c r="AC59" s="536"/>
      <c r="AD59" s="536"/>
      <c r="AE59" s="536"/>
      <c r="AF59" s="537"/>
    </row>
    <row r="60" spans="1:32" ht="6.9" customHeight="1" x14ac:dyDescent="0.3">
      <c r="A60" s="233"/>
      <c r="B60" s="234"/>
      <c r="C60" s="234"/>
      <c r="D60" s="234"/>
      <c r="E60" s="234"/>
      <c r="F60" s="234"/>
      <c r="G60" s="234"/>
      <c r="H60" s="234"/>
      <c r="I60" s="234"/>
      <c r="J60" s="234"/>
      <c r="K60" s="234"/>
      <c r="L60" s="234"/>
      <c r="M60" s="234"/>
      <c r="N60" s="234"/>
      <c r="O60" s="234"/>
      <c r="P60" s="234"/>
      <c r="Q60" s="234"/>
      <c r="R60" s="234"/>
      <c r="S60" s="234"/>
      <c r="T60" s="234"/>
      <c r="U60" s="234"/>
      <c r="V60" s="234"/>
      <c r="W60" s="234"/>
      <c r="X60" s="234"/>
      <c r="Y60" s="234"/>
      <c r="Z60" s="234"/>
      <c r="AA60" s="234"/>
      <c r="AB60" s="234"/>
      <c r="AC60" s="234"/>
      <c r="AD60" s="234"/>
      <c r="AE60" s="234"/>
      <c r="AF60" s="235"/>
    </row>
    <row r="61" spans="1:32" s="219" customFormat="1" ht="9.9" customHeight="1" x14ac:dyDescent="0.3">
      <c r="A61" s="216"/>
      <c r="B61" s="217"/>
      <c r="C61" s="217"/>
      <c r="D61" s="526" t="s">
        <v>810</v>
      </c>
      <c r="E61" s="526"/>
      <c r="F61" s="526"/>
      <c r="G61" s="526"/>
      <c r="H61" s="526"/>
      <c r="I61" s="217"/>
      <c r="J61" s="217"/>
      <c r="K61" s="526" t="s">
        <v>808</v>
      </c>
      <c r="L61" s="526"/>
      <c r="M61" s="526"/>
      <c r="N61" s="526"/>
      <c r="O61" s="526"/>
      <c r="P61" s="526"/>
      <c r="Q61" s="217"/>
      <c r="R61" s="217"/>
      <c r="S61" s="217"/>
      <c r="T61" s="217"/>
      <c r="U61" s="217"/>
      <c r="V61" s="526" t="s">
        <v>806</v>
      </c>
      <c r="W61" s="526"/>
      <c r="X61" s="526"/>
      <c r="Y61" s="526"/>
      <c r="Z61" s="526"/>
      <c r="AA61" s="526"/>
      <c r="AB61" s="526"/>
      <c r="AC61" s="526"/>
      <c r="AD61" s="526"/>
      <c r="AE61" s="217"/>
      <c r="AF61" s="218"/>
    </row>
    <row r="62" spans="1:32" s="223" customFormat="1" ht="8.1" customHeight="1" x14ac:dyDescent="0.3">
      <c r="A62" s="220"/>
      <c r="B62" s="221"/>
      <c r="C62" s="221"/>
      <c r="D62" s="517" t="s">
        <v>811</v>
      </c>
      <c r="E62" s="517"/>
      <c r="F62" s="517"/>
      <c r="G62" s="517"/>
      <c r="H62" s="517"/>
      <c r="I62" s="221"/>
      <c r="J62" s="221"/>
      <c r="K62" s="517" t="s">
        <v>809</v>
      </c>
      <c r="L62" s="517"/>
      <c r="M62" s="517"/>
      <c r="N62" s="517"/>
      <c r="O62" s="517"/>
      <c r="P62" s="517"/>
      <c r="Q62" s="221"/>
      <c r="R62" s="221"/>
      <c r="S62" s="221"/>
      <c r="T62" s="221"/>
      <c r="U62" s="221"/>
      <c r="V62" s="517" t="s">
        <v>807</v>
      </c>
      <c r="W62" s="517"/>
      <c r="X62" s="517"/>
      <c r="Y62" s="517"/>
      <c r="Z62" s="517"/>
      <c r="AA62" s="517"/>
      <c r="AB62" s="517"/>
      <c r="AC62" s="517"/>
      <c r="AD62" s="517"/>
      <c r="AE62" s="221"/>
      <c r="AF62" s="222"/>
    </row>
    <row r="63" spans="1:32" s="223" customFormat="1" ht="9.9" customHeight="1" x14ac:dyDescent="0.3">
      <c r="A63" s="220"/>
      <c r="B63" s="221"/>
      <c r="C63" s="221"/>
      <c r="D63" s="518" t="s">
        <v>757</v>
      </c>
      <c r="E63" s="518"/>
      <c r="F63" s="518" t="s">
        <v>758</v>
      </c>
      <c r="G63" s="518"/>
      <c r="H63" s="221"/>
      <c r="I63" s="221"/>
      <c r="J63" s="221"/>
      <c r="K63" s="258"/>
      <c r="L63" s="221"/>
      <c r="M63" s="221"/>
      <c r="N63" s="221"/>
      <c r="O63" s="221"/>
      <c r="P63" s="221"/>
      <c r="Q63" s="221"/>
      <c r="R63" s="221"/>
      <c r="S63" s="221"/>
      <c r="T63" s="221"/>
      <c r="U63" s="221"/>
      <c r="V63" s="221"/>
      <c r="W63" s="221" t="s">
        <v>761</v>
      </c>
      <c r="X63" s="221"/>
      <c r="Y63" s="221"/>
      <c r="Z63" s="221" t="s">
        <v>762</v>
      </c>
      <c r="AA63" s="221"/>
      <c r="AB63" s="221"/>
      <c r="AC63" s="221" t="s">
        <v>763</v>
      </c>
      <c r="AD63" s="221"/>
      <c r="AE63" s="221"/>
      <c r="AF63" s="222"/>
    </row>
    <row r="64" spans="1:32" s="232" customFormat="1" ht="15.9" customHeight="1" x14ac:dyDescent="0.3">
      <c r="A64" s="259" t="s">
        <v>825</v>
      </c>
      <c r="B64" s="260" t="s">
        <v>427</v>
      </c>
      <c r="C64" s="261" t="s">
        <v>739</v>
      </c>
      <c r="D64" s="227">
        <v>0</v>
      </c>
      <c r="E64" s="285"/>
      <c r="F64" s="285"/>
      <c r="G64" s="286"/>
      <c r="H64" s="225"/>
      <c r="I64" s="225"/>
      <c r="J64" s="243"/>
      <c r="K64" s="224" t="s">
        <v>759</v>
      </c>
      <c r="L64" s="227">
        <v>0</v>
      </c>
      <c r="M64" s="228">
        <v>0</v>
      </c>
      <c r="N64" s="286"/>
      <c r="O64" s="225"/>
      <c r="P64" s="225"/>
      <c r="Q64" s="225"/>
      <c r="R64" s="225"/>
      <c r="S64" s="225"/>
      <c r="T64" s="225"/>
      <c r="U64" s="243"/>
      <c r="V64" s="224" t="s">
        <v>760</v>
      </c>
      <c r="W64" s="262" t="s">
        <v>815</v>
      </c>
      <c r="X64" s="263"/>
      <c r="Y64" s="263"/>
      <c r="Z64" s="262" t="s">
        <v>816</v>
      </c>
      <c r="AA64" s="263"/>
      <c r="AB64" s="263"/>
      <c r="AC64" s="264" t="s">
        <v>427</v>
      </c>
      <c r="AD64" s="225"/>
      <c r="AE64" s="225"/>
      <c r="AF64" s="265"/>
    </row>
    <row r="65" spans="1:32" ht="9" customHeight="1" x14ac:dyDescent="0.3">
      <c r="A65" s="233"/>
      <c r="B65" s="234"/>
      <c r="C65" s="234"/>
      <c r="D65" s="234"/>
      <c r="E65" s="234"/>
      <c r="F65" s="234"/>
      <c r="G65" s="234"/>
      <c r="H65" s="234"/>
      <c r="I65" s="234"/>
      <c r="J65" s="234"/>
      <c r="K65" s="234"/>
      <c r="L65" s="234"/>
      <c r="M65" s="234"/>
      <c r="N65" s="234"/>
      <c r="O65" s="234"/>
      <c r="P65" s="234"/>
      <c r="Q65" s="234"/>
      <c r="R65" s="234"/>
      <c r="S65" s="234"/>
      <c r="T65" s="234"/>
      <c r="U65" s="234"/>
      <c r="V65" s="234"/>
      <c r="W65" s="234"/>
      <c r="X65" s="234"/>
      <c r="Y65" s="234"/>
      <c r="Z65" s="234"/>
      <c r="AA65" s="234"/>
      <c r="AB65" s="234"/>
      <c r="AC65" s="234"/>
      <c r="AD65" s="234"/>
      <c r="AE65" s="234"/>
      <c r="AF65" s="235"/>
    </row>
    <row r="66" spans="1:32" s="219" customFormat="1" ht="11.1" customHeight="1" x14ac:dyDescent="0.3">
      <c r="A66" s="216"/>
      <c r="B66" s="217"/>
      <c r="C66" s="217"/>
      <c r="D66" s="217" t="s">
        <v>764</v>
      </c>
      <c r="E66" s="217"/>
      <c r="F66" s="217"/>
      <c r="G66" s="217"/>
      <c r="H66" s="217"/>
      <c r="I66" s="217"/>
      <c r="J66" s="217"/>
      <c r="K66" s="217"/>
      <c r="L66" s="217"/>
      <c r="M66" s="217"/>
      <c r="N66" s="217"/>
      <c r="O66" s="217"/>
      <c r="P66" s="217"/>
      <c r="R66" s="217" t="s">
        <v>765</v>
      </c>
      <c r="S66" s="217"/>
      <c r="T66" s="217"/>
      <c r="U66" s="217"/>
      <c r="V66" s="217"/>
      <c r="W66" s="217"/>
      <c r="X66" s="217"/>
      <c r="Y66" s="217"/>
      <c r="Z66" s="217"/>
      <c r="AA66" s="217"/>
      <c r="AB66" s="217"/>
      <c r="AC66" s="217"/>
      <c r="AD66" s="217"/>
      <c r="AE66" s="217"/>
      <c r="AF66" s="218"/>
    </row>
    <row r="67" spans="1:32" s="270" customFormat="1" ht="8.1" customHeight="1" x14ac:dyDescent="0.3">
      <c r="A67" s="266"/>
      <c r="B67" s="267"/>
      <c r="C67" s="267"/>
      <c r="D67" s="267"/>
      <c r="E67" s="267"/>
      <c r="F67" s="267"/>
      <c r="G67" s="267" t="s">
        <v>766</v>
      </c>
      <c r="H67" s="267"/>
      <c r="I67" s="519" t="s">
        <v>826</v>
      </c>
      <c r="J67" s="519"/>
      <c r="K67" s="519"/>
      <c r="L67" s="519"/>
      <c r="M67" s="267" t="s">
        <v>768</v>
      </c>
      <c r="N67" s="267"/>
      <c r="O67" s="267"/>
      <c r="P67" s="267" t="s">
        <v>769</v>
      </c>
      <c r="Q67" s="267"/>
      <c r="R67" s="267"/>
      <c r="S67" s="267"/>
      <c r="T67" s="267"/>
      <c r="U67" s="267"/>
      <c r="V67" s="268" t="s">
        <v>771</v>
      </c>
      <c r="W67" s="267"/>
      <c r="X67" s="267"/>
      <c r="Y67" s="268" t="s">
        <v>773</v>
      </c>
      <c r="Z67" s="267"/>
      <c r="AA67" s="267"/>
      <c r="AB67" s="267"/>
      <c r="AC67" s="267"/>
      <c r="AD67" s="267"/>
      <c r="AE67" s="267"/>
      <c r="AF67" s="269"/>
    </row>
    <row r="68" spans="1:32" s="223" customFormat="1" ht="9.9" customHeight="1" x14ac:dyDescent="0.3">
      <c r="A68" s="220"/>
      <c r="B68" s="221"/>
      <c r="C68" s="221"/>
      <c r="D68" s="221"/>
      <c r="E68" s="221"/>
      <c r="F68" s="221"/>
      <c r="G68" s="221" t="s">
        <v>767</v>
      </c>
      <c r="H68" s="221"/>
      <c r="I68" s="517" t="s">
        <v>839</v>
      </c>
      <c r="J68" s="517"/>
      <c r="K68" s="517"/>
      <c r="L68" s="517"/>
      <c r="M68" s="221" t="s">
        <v>840</v>
      </c>
      <c r="N68" s="221"/>
      <c r="O68" s="221"/>
      <c r="P68" s="221" t="s">
        <v>770</v>
      </c>
      <c r="Q68" s="221"/>
      <c r="R68" s="221"/>
      <c r="S68" s="221"/>
      <c r="T68" s="221"/>
      <c r="U68" s="221"/>
      <c r="V68" s="257" t="s">
        <v>772</v>
      </c>
      <c r="W68" s="221"/>
      <c r="X68" s="221"/>
      <c r="Y68" s="257" t="s">
        <v>774</v>
      </c>
      <c r="Z68" s="221"/>
      <c r="AA68" s="221"/>
      <c r="AB68" s="221" t="s">
        <v>761</v>
      </c>
      <c r="AC68" s="221"/>
      <c r="AD68" s="221"/>
      <c r="AE68" s="221" t="s">
        <v>762</v>
      </c>
      <c r="AF68" s="222"/>
    </row>
    <row r="69" spans="1:32" s="223" customFormat="1" ht="2.1" customHeight="1" x14ac:dyDescent="0.3">
      <c r="A69" s="220"/>
      <c r="B69" s="221"/>
      <c r="C69" s="221"/>
      <c r="D69" s="221"/>
      <c r="E69" s="221"/>
      <c r="F69" s="221"/>
      <c r="G69" s="221"/>
      <c r="H69" s="221"/>
      <c r="I69" s="248"/>
      <c r="J69" s="248"/>
      <c r="K69" s="248"/>
      <c r="L69" s="248"/>
      <c r="M69" s="221"/>
      <c r="N69" s="221"/>
      <c r="O69" s="221"/>
      <c r="P69" s="221"/>
      <c r="Q69" s="221"/>
      <c r="R69" s="221"/>
      <c r="S69" s="221"/>
      <c r="T69" s="221"/>
      <c r="U69" s="221"/>
      <c r="V69" s="257"/>
      <c r="W69" s="221"/>
      <c r="X69" s="221"/>
      <c r="Y69" s="257"/>
      <c r="Z69" s="221"/>
      <c r="AA69" s="221"/>
      <c r="AB69" s="221"/>
      <c r="AC69" s="221"/>
      <c r="AD69" s="221"/>
      <c r="AE69" s="221"/>
      <c r="AF69" s="222"/>
    </row>
    <row r="70" spans="1:32" ht="15.9" customHeight="1" x14ac:dyDescent="0.3">
      <c r="A70" s="233"/>
      <c r="B70" s="234"/>
      <c r="C70" s="243"/>
      <c r="D70" s="264" t="s">
        <v>824</v>
      </c>
      <c r="E70" s="260"/>
      <c r="F70" s="241" t="s">
        <v>739</v>
      </c>
      <c r="G70" s="262" t="s">
        <v>812</v>
      </c>
      <c r="H70" s="260"/>
      <c r="I70" s="260"/>
      <c r="J70" s="262" t="s">
        <v>428</v>
      </c>
      <c r="K70" s="260"/>
      <c r="L70" s="260"/>
      <c r="M70" s="262" t="s">
        <v>813</v>
      </c>
      <c r="N70" s="260"/>
      <c r="O70" s="260"/>
      <c r="P70" s="264" t="s">
        <v>814</v>
      </c>
      <c r="Q70" s="260"/>
      <c r="R70" s="226" t="s">
        <v>825</v>
      </c>
      <c r="S70" s="262" t="s">
        <v>814</v>
      </c>
      <c r="T70" s="520" t="s">
        <v>739</v>
      </c>
      <c r="U70" s="521"/>
      <c r="V70" s="262" t="s">
        <v>817</v>
      </c>
      <c r="W70" s="260"/>
      <c r="X70" s="260"/>
      <c r="Y70" s="262" t="s">
        <v>818</v>
      </c>
      <c r="Z70" s="260"/>
      <c r="AA70" s="260"/>
      <c r="AB70" s="262" t="s">
        <v>815</v>
      </c>
      <c r="AC70" s="260"/>
      <c r="AD70" s="260"/>
      <c r="AE70" s="262" t="s">
        <v>816</v>
      </c>
      <c r="AF70" s="235"/>
    </row>
    <row r="71" spans="1:32" ht="5.0999999999999996" customHeight="1" x14ac:dyDescent="0.3">
      <c r="A71" s="233"/>
      <c r="B71" s="234"/>
      <c r="C71" s="234"/>
      <c r="D71" s="234"/>
      <c r="E71" s="234"/>
      <c r="F71" s="234"/>
      <c r="G71" s="234"/>
      <c r="H71" s="234"/>
      <c r="I71" s="234"/>
      <c r="J71" s="234"/>
      <c r="K71" s="234"/>
      <c r="L71" s="234"/>
      <c r="M71" s="234"/>
      <c r="N71" s="234"/>
      <c r="O71" s="234"/>
      <c r="P71" s="234"/>
      <c r="Q71" s="234"/>
      <c r="R71" s="234"/>
      <c r="S71" s="234"/>
      <c r="T71" s="234"/>
      <c r="U71" s="234"/>
      <c r="V71" s="234"/>
      <c r="W71" s="234"/>
      <c r="X71" s="234"/>
      <c r="Y71" s="234"/>
      <c r="Z71" s="234"/>
      <c r="AA71" s="234"/>
      <c r="AB71" s="234"/>
      <c r="AC71" s="234"/>
      <c r="AD71" s="234"/>
      <c r="AE71" s="234"/>
      <c r="AF71" s="235"/>
    </row>
    <row r="72" spans="1:32" s="219" customFormat="1" ht="9.9" customHeight="1" x14ac:dyDescent="0.3">
      <c r="A72" s="216"/>
      <c r="B72" s="217"/>
      <c r="C72" s="217"/>
      <c r="D72" s="217" t="s">
        <v>775</v>
      </c>
      <c r="E72" s="217"/>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8"/>
    </row>
    <row r="73" spans="1:32" s="270" customFormat="1" ht="9" customHeight="1" x14ac:dyDescent="0.3">
      <c r="A73" s="266"/>
      <c r="B73" s="267"/>
      <c r="C73" s="267"/>
      <c r="D73" s="267" t="s">
        <v>776</v>
      </c>
      <c r="E73" s="267"/>
      <c r="F73" s="267"/>
      <c r="G73" s="267" t="s">
        <v>777</v>
      </c>
      <c r="H73" s="267"/>
      <c r="I73" s="267"/>
      <c r="J73" s="267"/>
      <c r="K73" s="267"/>
      <c r="L73" s="267" t="s">
        <v>779</v>
      </c>
      <c r="M73" s="267"/>
      <c r="N73" s="267"/>
      <c r="O73" s="267"/>
      <c r="P73" s="267"/>
      <c r="Q73" s="267"/>
      <c r="R73" s="267"/>
      <c r="S73" s="267"/>
      <c r="T73" s="267"/>
      <c r="U73" s="267"/>
      <c r="V73" s="267"/>
      <c r="W73" s="267"/>
      <c r="X73" s="267"/>
      <c r="Y73" s="267"/>
      <c r="Z73" s="267"/>
      <c r="AA73" s="267"/>
      <c r="AB73" s="267"/>
      <c r="AC73" s="267"/>
      <c r="AD73" s="267"/>
      <c r="AE73" s="267"/>
      <c r="AF73" s="269"/>
    </row>
    <row r="74" spans="1:32" s="223" customFormat="1" ht="9.9" customHeight="1" x14ac:dyDescent="0.3">
      <c r="A74" s="220"/>
      <c r="B74" s="221"/>
      <c r="C74" s="221"/>
      <c r="D74" s="221" t="s">
        <v>738</v>
      </c>
      <c r="E74" s="221"/>
      <c r="F74" s="221"/>
      <c r="G74" s="221" t="s">
        <v>778</v>
      </c>
      <c r="H74" s="221"/>
      <c r="I74" s="221"/>
      <c r="J74" s="221"/>
      <c r="K74" s="221"/>
      <c r="L74" s="221" t="s">
        <v>780</v>
      </c>
      <c r="M74" s="221"/>
      <c r="N74" s="221"/>
      <c r="O74" s="221"/>
      <c r="P74" s="221"/>
      <c r="Q74" s="221"/>
      <c r="R74" s="221"/>
      <c r="S74" s="221"/>
      <c r="T74" s="221"/>
      <c r="U74" s="221"/>
      <c r="V74" s="221"/>
      <c r="W74" s="221"/>
      <c r="X74" s="221"/>
      <c r="Y74" s="221"/>
      <c r="Z74" s="221"/>
      <c r="AA74" s="221"/>
      <c r="AB74" s="221"/>
      <c r="AC74" s="221"/>
      <c r="AD74" s="221"/>
      <c r="AE74" s="221"/>
      <c r="AF74" s="222"/>
    </row>
    <row r="75" spans="1:32" s="223" customFormat="1" ht="2.1" customHeight="1" x14ac:dyDescent="0.3">
      <c r="A75" s="220"/>
      <c r="B75" s="221"/>
      <c r="C75" s="221"/>
      <c r="D75" s="221"/>
      <c r="E75" s="221"/>
      <c r="F75" s="221"/>
      <c r="G75" s="221"/>
      <c r="H75" s="221"/>
      <c r="I75" s="221"/>
      <c r="J75" s="221"/>
      <c r="K75" s="221"/>
      <c r="L75" s="221"/>
      <c r="M75" s="221"/>
      <c r="N75" s="221"/>
      <c r="O75" s="221"/>
      <c r="P75" s="221"/>
      <c r="Q75" s="221"/>
      <c r="R75" s="221"/>
      <c r="S75" s="221"/>
      <c r="T75" s="221"/>
      <c r="U75" s="221"/>
      <c r="V75" s="221"/>
      <c r="W75" s="221"/>
      <c r="X75" s="221"/>
      <c r="Y75" s="221"/>
      <c r="Z75" s="221"/>
      <c r="AA75" s="221"/>
      <c r="AB75" s="221"/>
      <c r="AC75" s="221"/>
      <c r="AD75" s="221"/>
      <c r="AE75" s="221"/>
      <c r="AF75" s="222"/>
    </row>
    <row r="76" spans="1:32" ht="15.9" customHeight="1" x14ac:dyDescent="0.3">
      <c r="A76" s="271"/>
      <c r="B76" s="272" t="s">
        <v>428</v>
      </c>
      <c r="C76" s="261" t="s">
        <v>739</v>
      </c>
      <c r="D76" s="227"/>
      <c r="E76" s="229"/>
      <c r="F76" s="243"/>
      <c r="G76" s="227"/>
      <c r="H76" s="228"/>
      <c r="I76" s="228"/>
      <c r="J76" s="229"/>
      <c r="K76" s="243"/>
      <c r="L76" s="264" t="s">
        <v>429</v>
      </c>
      <c r="M76" s="260"/>
      <c r="N76" s="243"/>
      <c r="O76" s="522"/>
      <c r="P76" s="523"/>
      <c r="Q76" s="523"/>
      <c r="R76" s="523"/>
      <c r="S76" s="524"/>
      <c r="T76" s="514" t="s">
        <v>821</v>
      </c>
      <c r="U76" s="515"/>
      <c r="V76" s="515"/>
      <c r="W76" s="256"/>
      <c r="X76" s="234"/>
      <c r="Y76" s="234"/>
      <c r="Z76" s="234"/>
      <c r="AA76" s="234"/>
      <c r="AB76" s="234"/>
      <c r="AC76" s="234"/>
      <c r="AD76" s="234"/>
      <c r="AE76" s="234"/>
      <c r="AF76" s="235"/>
    </row>
    <row r="77" spans="1:32" ht="3" customHeight="1" x14ac:dyDescent="0.3">
      <c r="A77" s="271"/>
      <c r="B77" s="273"/>
      <c r="C77" s="261"/>
      <c r="D77" s="202"/>
      <c r="E77" s="202"/>
      <c r="F77" s="243"/>
      <c r="G77" s="202"/>
      <c r="H77" s="202"/>
      <c r="I77" s="202"/>
      <c r="J77" s="202"/>
      <c r="K77" s="243"/>
      <c r="L77" s="274"/>
      <c r="M77" s="260"/>
      <c r="N77" s="243"/>
      <c r="O77" s="202"/>
      <c r="P77" s="202"/>
      <c r="Q77" s="202"/>
      <c r="R77" s="202"/>
      <c r="S77" s="202"/>
      <c r="T77" s="224"/>
      <c r="U77" s="224"/>
      <c r="V77" s="224"/>
      <c r="W77" s="256"/>
      <c r="X77" s="234"/>
      <c r="Y77" s="234"/>
      <c r="Z77" s="234"/>
      <c r="AA77" s="234"/>
      <c r="AB77" s="234"/>
      <c r="AC77" s="234"/>
      <c r="AD77" s="234"/>
      <c r="AE77" s="234"/>
      <c r="AF77" s="235"/>
    </row>
    <row r="78" spans="1:32" s="219" customFormat="1" ht="15" customHeight="1" x14ac:dyDescent="0.3">
      <c r="A78" s="216"/>
      <c r="B78" s="256"/>
      <c r="C78" s="261"/>
      <c r="D78" s="217" t="s">
        <v>781</v>
      </c>
      <c r="E78" s="217"/>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8"/>
    </row>
    <row r="79" spans="1:32" ht="15" customHeight="1" x14ac:dyDescent="0.3">
      <c r="A79" s="233"/>
      <c r="B79" s="260" t="s">
        <v>413</v>
      </c>
      <c r="C79" s="261" t="s">
        <v>739</v>
      </c>
      <c r="D79" s="525" t="s">
        <v>829</v>
      </c>
      <c r="E79" s="525"/>
      <c r="F79" s="525"/>
      <c r="G79" s="525"/>
      <c r="H79" s="525"/>
      <c r="I79" s="525"/>
      <c r="J79" s="525"/>
      <c r="K79" s="525"/>
      <c r="L79" s="525"/>
      <c r="M79" s="525"/>
      <c r="N79" s="525"/>
      <c r="O79" s="525"/>
      <c r="P79" s="525"/>
      <c r="Q79" s="525"/>
      <c r="R79" s="525"/>
      <c r="S79" s="525"/>
      <c r="T79" s="525"/>
      <c r="U79" s="525"/>
      <c r="V79" s="525"/>
      <c r="W79" s="525"/>
      <c r="X79" s="525"/>
      <c r="Y79" s="525"/>
      <c r="Z79" s="525"/>
      <c r="AA79" s="525"/>
      <c r="AB79" s="525"/>
      <c r="AC79" s="525"/>
      <c r="AD79" s="525"/>
      <c r="AE79" s="525"/>
      <c r="AF79" s="525"/>
    </row>
    <row r="80" spans="1:32" ht="3" customHeight="1" x14ac:dyDescent="0.3">
      <c r="A80" s="233"/>
      <c r="B80" s="260"/>
      <c r="C80" s="261"/>
      <c r="D80" s="275"/>
      <c r="E80" s="275"/>
      <c r="F80" s="275"/>
      <c r="G80" s="275"/>
      <c r="H80" s="275"/>
      <c r="I80" s="275"/>
      <c r="J80" s="275"/>
      <c r="K80" s="275"/>
      <c r="L80" s="275"/>
      <c r="M80" s="275"/>
      <c r="N80" s="275"/>
      <c r="O80" s="275"/>
      <c r="P80" s="275"/>
      <c r="Q80" s="275"/>
      <c r="R80" s="275"/>
      <c r="S80" s="275"/>
      <c r="T80" s="275"/>
      <c r="U80" s="275"/>
      <c r="V80" s="275"/>
      <c r="W80" s="275"/>
      <c r="X80" s="275"/>
      <c r="Y80" s="275"/>
      <c r="Z80" s="275"/>
      <c r="AA80" s="275"/>
      <c r="AB80" s="275"/>
      <c r="AC80" s="275"/>
      <c r="AD80" s="275"/>
      <c r="AE80" s="275"/>
      <c r="AF80" s="276"/>
    </row>
    <row r="81" spans="1:33" s="219" customFormat="1" ht="15" customHeight="1" x14ac:dyDescent="0.3">
      <c r="A81" s="216"/>
      <c r="B81" s="217"/>
      <c r="C81" s="277"/>
      <c r="D81" s="217" t="s">
        <v>819</v>
      </c>
      <c r="E81" s="217"/>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8"/>
    </row>
    <row r="82" spans="1:33" ht="15" customHeight="1" x14ac:dyDescent="0.3">
      <c r="A82" s="271"/>
      <c r="B82" s="272" t="s">
        <v>820</v>
      </c>
      <c r="C82" s="261" t="s">
        <v>739</v>
      </c>
      <c r="D82" s="513"/>
      <c r="E82" s="513"/>
      <c r="F82" s="513"/>
      <c r="G82" s="513"/>
      <c r="H82" s="513"/>
      <c r="I82" s="513"/>
      <c r="J82" s="513"/>
      <c r="K82" s="513"/>
      <c r="L82" s="513"/>
      <c r="M82" s="513"/>
      <c r="N82" s="513"/>
      <c r="O82" s="513"/>
      <c r="P82" s="513"/>
      <c r="Q82" s="513"/>
      <c r="R82" s="513"/>
      <c r="S82" s="513"/>
      <c r="T82" s="513"/>
      <c r="U82" s="513"/>
      <c r="V82" s="513"/>
      <c r="W82" s="513"/>
      <c r="X82" s="513"/>
      <c r="Y82" s="513"/>
      <c r="Z82" s="513"/>
      <c r="AA82" s="513"/>
      <c r="AB82" s="514" t="s">
        <v>821</v>
      </c>
      <c r="AC82" s="515"/>
      <c r="AD82" s="515"/>
      <c r="AE82" s="515"/>
      <c r="AF82" s="516"/>
    </row>
    <row r="83" spans="1:33" ht="3" customHeight="1" x14ac:dyDescent="0.3">
      <c r="A83" s="271"/>
      <c r="B83" s="273"/>
      <c r="C83" s="261"/>
      <c r="D83" s="273"/>
      <c r="E83" s="273"/>
      <c r="F83" s="273"/>
      <c r="G83" s="273"/>
      <c r="H83" s="273"/>
      <c r="I83" s="273"/>
      <c r="J83" s="273"/>
      <c r="K83" s="273"/>
      <c r="L83" s="273"/>
      <c r="M83" s="273"/>
      <c r="N83" s="273"/>
      <c r="O83" s="273"/>
      <c r="P83" s="273"/>
      <c r="Q83" s="273"/>
      <c r="R83" s="273"/>
      <c r="S83" s="273"/>
      <c r="T83" s="273"/>
      <c r="U83" s="273"/>
      <c r="V83" s="273"/>
      <c r="W83" s="273"/>
      <c r="X83" s="273"/>
      <c r="Y83" s="273"/>
      <c r="Z83" s="273"/>
      <c r="AA83" s="273"/>
      <c r="AB83" s="224"/>
      <c r="AC83" s="224"/>
      <c r="AD83" s="224"/>
      <c r="AE83" s="224"/>
      <c r="AF83" s="231"/>
    </row>
    <row r="84" spans="1:33" s="219" customFormat="1" ht="12.9" customHeight="1" x14ac:dyDescent="0.3">
      <c r="A84" s="216"/>
      <c r="B84" s="217"/>
      <c r="C84" s="277"/>
      <c r="D84" s="217" t="s">
        <v>782</v>
      </c>
      <c r="E84" s="217"/>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8"/>
    </row>
    <row r="85" spans="1:33" ht="15" customHeight="1" x14ac:dyDescent="0.3">
      <c r="A85" s="233"/>
      <c r="B85" s="260" t="s">
        <v>429</v>
      </c>
      <c r="C85" s="261" t="s">
        <v>739</v>
      </c>
      <c r="D85" s="486" t="str">
        <f>UPPER(A88)</f>
        <v>JAIRO GOMEZ</v>
      </c>
      <c r="E85" s="487"/>
      <c r="F85" s="487"/>
      <c r="G85" s="487"/>
      <c r="H85" s="487"/>
      <c r="I85" s="487"/>
      <c r="J85" s="487"/>
      <c r="K85" s="487"/>
      <c r="L85" s="487"/>
      <c r="M85" s="487"/>
      <c r="N85" s="487"/>
      <c r="O85" s="487"/>
      <c r="P85" s="487"/>
      <c r="Q85" s="487"/>
      <c r="R85" s="487"/>
      <c r="S85" s="487"/>
      <c r="T85" s="487"/>
      <c r="U85" s="487"/>
      <c r="V85" s="488"/>
      <c r="W85" s="278" t="s">
        <v>783</v>
      </c>
      <c r="X85" s="489" t="s">
        <v>821</v>
      </c>
      <c r="Y85" s="489"/>
      <c r="Z85" s="489"/>
      <c r="AA85" s="489"/>
      <c r="AB85" s="489"/>
      <c r="AC85" s="234"/>
      <c r="AD85" s="234"/>
      <c r="AE85" s="234"/>
      <c r="AF85" s="235"/>
    </row>
    <row r="86" spans="1:33" ht="6" customHeight="1" x14ac:dyDescent="0.3">
      <c r="A86" s="233"/>
      <c r="B86" s="234"/>
      <c r="C86" s="234"/>
      <c r="D86" s="234"/>
      <c r="E86" s="234"/>
      <c r="F86" s="234"/>
      <c r="G86" s="234"/>
      <c r="H86" s="234"/>
      <c r="I86" s="234"/>
      <c r="J86" s="234"/>
      <c r="K86" s="234"/>
      <c r="L86" s="234"/>
      <c r="M86" s="234"/>
      <c r="N86" s="234"/>
      <c r="O86" s="234"/>
      <c r="P86" s="234"/>
      <c r="Q86" s="234"/>
      <c r="R86" s="234"/>
      <c r="S86" s="234"/>
      <c r="T86" s="234"/>
      <c r="U86" s="234"/>
      <c r="V86" s="234"/>
      <c r="W86" s="234"/>
      <c r="X86" s="234"/>
      <c r="Y86" s="234"/>
      <c r="Z86" s="234"/>
      <c r="AA86" s="234"/>
      <c r="AB86" s="234"/>
      <c r="AC86" s="234"/>
      <c r="AD86" s="234"/>
      <c r="AE86" s="234"/>
      <c r="AF86" s="235"/>
    </row>
    <row r="87" spans="1:33" s="281" customFormat="1" ht="14.1" customHeight="1" x14ac:dyDescent="0.3">
      <c r="A87" s="279"/>
      <c r="B87" s="280"/>
      <c r="C87" s="280"/>
      <c r="D87" s="490" t="s">
        <v>784</v>
      </c>
      <c r="E87" s="490"/>
      <c r="F87" s="490"/>
      <c r="G87" s="490"/>
      <c r="H87" s="490"/>
      <c r="I87" s="490"/>
      <c r="J87" s="490"/>
      <c r="K87" s="490"/>
      <c r="L87" s="490"/>
      <c r="M87" s="490"/>
      <c r="N87" s="490"/>
      <c r="O87" s="490"/>
      <c r="P87" s="490"/>
      <c r="Q87" s="490"/>
      <c r="R87" s="490"/>
      <c r="S87" s="490"/>
      <c r="T87" s="490"/>
      <c r="U87" s="490"/>
      <c r="V87" s="490"/>
      <c r="W87" s="490"/>
      <c r="X87" s="490"/>
      <c r="Y87" s="490"/>
      <c r="Z87" s="490"/>
      <c r="AA87" s="490"/>
      <c r="AB87" s="490"/>
      <c r="AC87" s="490"/>
      <c r="AD87" s="490"/>
      <c r="AE87" s="490"/>
      <c r="AF87" s="491"/>
    </row>
    <row r="88" spans="1:33" ht="9.9" customHeight="1" x14ac:dyDescent="0.3">
      <c r="A88" s="492" t="str">
        <f>UPPER(IF('C172 R-S'!B29="✓",'C172 R-S'!AE10,'C172 R-S'!AE9))</f>
        <v>JAIRO GOMEZ</v>
      </c>
      <c r="B88" s="492"/>
      <c r="C88" s="492"/>
      <c r="D88" s="492"/>
      <c r="E88" s="492"/>
      <c r="F88" s="492"/>
      <c r="G88" s="493"/>
      <c r="H88" s="494" t="s">
        <v>845</v>
      </c>
      <c r="I88" s="495"/>
      <c r="J88" s="495"/>
      <c r="K88" s="495"/>
      <c r="L88" s="495"/>
      <c r="M88" s="495"/>
      <c r="N88" s="495"/>
      <c r="O88" s="495"/>
      <c r="P88" s="495"/>
      <c r="Q88" s="495"/>
      <c r="R88" s="496"/>
      <c r="S88" s="497" t="s">
        <v>785</v>
      </c>
      <c r="T88" s="498"/>
      <c r="U88" s="498"/>
      <c r="V88" s="498"/>
      <c r="W88" s="498"/>
      <c r="X88" s="498"/>
      <c r="Y88" s="498"/>
      <c r="Z88" s="498"/>
      <c r="AA88" s="499"/>
      <c r="AB88" s="500" t="s">
        <v>833</v>
      </c>
      <c r="AC88" s="501"/>
      <c r="AD88" s="501"/>
      <c r="AE88" s="501"/>
      <c r="AF88" s="501"/>
      <c r="AG88" s="199"/>
    </row>
    <row r="89" spans="1:33" ht="11.1" customHeight="1" x14ac:dyDescent="0.3">
      <c r="A89" s="492"/>
      <c r="B89" s="492"/>
      <c r="C89" s="492"/>
      <c r="D89" s="492"/>
      <c r="E89" s="492"/>
      <c r="F89" s="492"/>
      <c r="G89" s="493"/>
      <c r="H89" s="494" t="s">
        <v>846</v>
      </c>
      <c r="I89" s="495"/>
      <c r="J89" s="495"/>
      <c r="K89" s="495"/>
      <c r="L89" s="495"/>
      <c r="M89" s="495"/>
      <c r="N89" s="495"/>
      <c r="O89" s="495"/>
      <c r="P89" s="495"/>
      <c r="Q89" s="495"/>
      <c r="R89" s="496"/>
      <c r="S89" s="502" t="s">
        <v>786</v>
      </c>
      <c r="T89" s="502"/>
      <c r="U89" s="502"/>
      <c r="V89" s="502" t="s">
        <v>787</v>
      </c>
      <c r="W89" s="502"/>
      <c r="X89" s="502"/>
      <c r="Y89" s="502" t="s">
        <v>788</v>
      </c>
      <c r="Z89" s="502"/>
      <c r="AA89" s="502"/>
      <c r="AB89" s="503" t="str">
        <f>UPPER(IF('C172 R-S'!B29="✓",'C172 R-S'!AF10,'C172 R-S'!AF9))</f>
        <v>IVA 2459</v>
      </c>
      <c r="AC89" s="504"/>
      <c r="AD89" s="504"/>
      <c r="AE89" s="504"/>
      <c r="AF89" s="504"/>
      <c r="AG89" s="199"/>
    </row>
    <row r="90" spans="1:33" ht="23.1" customHeight="1" x14ac:dyDescent="0.3">
      <c r="A90" s="505" t="str">
        <f>UPPER(IF('C172 R-S'!B29="✓",'C172 R-S'!AF10,'C172 R-S'!AF9))</f>
        <v>IVA 2459</v>
      </c>
      <c r="B90" s="505"/>
      <c r="C90" s="505"/>
      <c r="D90" s="505"/>
      <c r="E90" s="505"/>
      <c r="F90" s="505"/>
      <c r="G90" s="505"/>
      <c r="H90" s="288"/>
      <c r="I90" s="287"/>
      <c r="J90" s="287"/>
      <c r="K90" s="287"/>
      <c r="L90" s="287"/>
      <c r="M90" s="287"/>
      <c r="N90" s="287"/>
      <c r="O90" s="287"/>
      <c r="P90" s="287"/>
      <c r="Q90" s="287"/>
      <c r="R90" s="287"/>
      <c r="S90" s="506"/>
      <c r="T90" s="507"/>
      <c r="U90" s="507"/>
      <c r="V90" s="508"/>
      <c r="W90" s="509"/>
      <c r="X90" s="510"/>
      <c r="Y90" s="511">
        <f>YEAR('C172 R-S'!D8)</f>
        <v>1900</v>
      </c>
      <c r="Z90" s="511"/>
      <c r="AA90" s="512"/>
      <c r="AB90" s="504"/>
      <c r="AC90" s="504"/>
      <c r="AD90" s="504"/>
      <c r="AE90" s="504"/>
      <c r="AF90" s="504"/>
      <c r="AG90" s="199"/>
    </row>
    <row r="91" spans="1:33" ht="9" customHeight="1" x14ac:dyDescent="0.3">
      <c r="A91" s="282" t="s">
        <v>847</v>
      </c>
      <c r="B91" s="283"/>
      <c r="C91" s="283"/>
      <c r="D91" s="283"/>
      <c r="E91" s="283"/>
      <c r="F91" s="283"/>
      <c r="G91" s="283"/>
      <c r="H91" s="199"/>
      <c r="I91" s="199"/>
      <c r="J91" s="199"/>
      <c r="K91" s="199"/>
      <c r="L91" s="199"/>
      <c r="M91" s="199"/>
      <c r="N91" s="199"/>
      <c r="O91" s="199"/>
      <c r="P91" s="199"/>
      <c r="Q91" s="199"/>
      <c r="R91" s="199"/>
      <c r="S91" s="199"/>
      <c r="T91" s="199"/>
      <c r="U91" s="199"/>
      <c r="V91" s="199"/>
      <c r="W91" s="199"/>
      <c r="X91" s="199"/>
      <c r="Y91" s="199"/>
      <c r="Z91" s="199"/>
      <c r="AA91" s="199"/>
      <c r="AB91" s="199"/>
      <c r="AC91" s="289" t="s">
        <v>789</v>
      </c>
      <c r="AD91" s="199"/>
      <c r="AE91" s="199"/>
      <c r="AF91" s="199"/>
    </row>
    <row r="92" spans="1:33" ht="9" customHeight="1" x14ac:dyDescent="0.3">
      <c r="A92" s="199"/>
      <c r="B92" s="199"/>
      <c r="C92" s="199"/>
      <c r="D92" s="199"/>
      <c r="E92" s="199"/>
      <c r="F92" s="199"/>
      <c r="G92" s="199"/>
      <c r="H92" s="199"/>
      <c r="I92" s="199"/>
      <c r="J92" s="199"/>
      <c r="K92" s="199"/>
      <c r="L92" s="199"/>
      <c r="M92" s="199"/>
      <c r="N92" s="199"/>
      <c r="O92" s="199"/>
      <c r="P92" s="199"/>
      <c r="Q92" s="199"/>
      <c r="R92" s="199"/>
      <c r="S92" s="199"/>
      <c r="T92" s="199"/>
      <c r="U92" s="199"/>
      <c r="V92" s="199"/>
      <c r="W92" s="199"/>
      <c r="X92" s="199"/>
      <c r="Y92" s="199"/>
      <c r="Z92" s="199"/>
      <c r="AA92" s="199"/>
      <c r="AB92" s="199"/>
      <c r="AC92" s="289" t="s">
        <v>790</v>
      </c>
      <c r="AD92" s="199"/>
      <c r="AE92" s="199"/>
      <c r="AF92" s="199"/>
    </row>
    <row r="93" spans="1:33" ht="9" customHeight="1" x14ac:dyDescent="0.3">
      <c r="A93" s="199"/>
      <c r="B93" s="199"/>
      <c r="C93" s="199"/>
      <c r="D93" s="199"/>
      <c r="E93" s="199"/>
      <c r="F93" s="199"/>
      <c r="G93" s="199"/>
      <c r="H93" s="199"/>
      <c r="I93" s="199"/>
      <c r="J93" s="199"/>
      <c r="K93" s="199"/>
      <c r="L93" s="199"/>
      <c r="M93" s="199"/>
      <c r="N93" s="199"/>
      <c r="O93" s="199"/>
      <c r="P93" s="199"/>
      <c r="Q93" s="199"/>
      <c r="R93" s="199"/>
      <c r="S93" s="199"/>
      <c r="T93" s="199"/>
      <c r="U93" s="199"/>
      <c r="V93" s="199"/>
      <c r="W93" s="199"/>
      <c r="X93" s="199"/>
      <c r="Y93" s="199"/>
      <c r="Z93" s="199"/>
      <c r="AA93" s="199"/>
      <c r="AB93" s="199"/>
      <c r="AC93" s="289" t="s">
        <v>791</v>
      </c>
      <c r="AD93" s="199"/>
      <c r="AE93" s="199"/>
      <c r="AF93" s="199"/>
    </row>
  </sheetData>
  <sheetProtection algorithmName="SHA-512" hashValue="0yTQ44phOjF0fFaw8nfmGllknO0MW5I6PsxJAY3D7ncJ5y4PYzrC3J5zYFQ7SEmsOFWCWuFH6PLkH7oE0SFq6w==" saltValue="NvHKudhqiCjXkP+6e8/Nfg==" spinCount="100000" sheet="1" objects="1" scenarios="1" selectLockedCells="1"/>
  <mergeCells count="75">
    <mergeCell ref="A12:F12"/>
    <mergeCell ref="I12:P12"/>
    <mergeCell ref="J2:AF2"/>
    <mergeCell ref="J3:AF3"/>
    <mergeCell ref="A4:I5"/>
    <mergeCell ref="J4:AF4"/>
    <mergeCell ref="H7:AF7"/>
    <mergeCell ref="A8:G8"/>
    <mergeCell ref="H8:AF8"/>
    <mergeCell ref="A9:D9"/>
    <mergeCell ref="H9:AF9"/>
    <mergeCell ref="H10:AB11"/>
    <mergeCell ref="AC10:AF11"/>
    <mergeCell ref="A11:F11"/>
    <mergeCell ref="B35:H35"/>
    <mergeCell ref="Q13:S13"/>
    <mergeCell ref="A14:AF14"/>
    <mergeCell ref="A15:AF15"/>
    <mergeCell ref="A17:AF17"/>
    <mergeCell ref="A22:C22"/>
    <mergeCell ref="AD22:AF22"/>
    <mergeCell ref="Q27:V27"/>
    <mergeCell ref="X27:AC27"/>
    <mergeCell ref="AD27:AF27"/>
    <mergeCell ref="R32:T32"/>
    <mergeCell ref="B34:I34"/>
    <mergeCell ref="O37:AF37"/>
    <mergeCell ref="A38:AF38"/>
    <mergeCell ref="A39:AF39"/>
    <mergeCell ref="A40:AF40"/>
    <mergeCell ref="A41:AC41"/>
    <mergeCell ref="AD41:AF41"/>
    <mergeCell ref="D61:H61"/>
    <mergeCell ref="K61:P61"/>
    <mergeCell ref="V61:AD61"/>
    <mergeCell ref="K43:N43"/>
    <mergeCell ref="K44:N44"/>
    <mergeCell ref="AD47:AF47"/>
    <mergeCell ref="B52:AF52"/>
    <mergeCell ref="A53:AF53"/>
    <mergeCell ref="A54:AF54"/>
    <mergeCell ref="A55:AF55"/>
    <mergeCell ref="A56:AB56"/>
    <mergeCell ref="AD56:AF56"/>
    <mergeCell ref="A58:AF58"/>
    <mergeCell ref="A59:AF59"/>
    <mergeCell ref="D82:AA82"/>
    <mergeCell ref="AB82:AF82"/>
    <mergeCell ref="D62:H62"/>
    <mergeCell ref="K62:P62"/>
    <mergeCell ref="V62:AD62"/>
    <mergeCell ref="D63:E63"/>
    <mergeCell ref="F63:G63"/>
    <mergeCell ref="I67:L67"/>
    <mergeCell ref="I68:L68"/>
    <mergeCell ref="T70:U70"/>
    <mergeCell ref="O76:S76"/>
    <mergeCell ref="T76:V76"/>
    <mergeCell ref="D79:AF79"/>
    <mergeCell ref="D85:V85"/>
    <mergeCell ref="X85:AB85"/>
    <mergeCell ref="D87:AF87"/>
    <mergeCell ref="A88:G89"/>
    <mergeCell ref="H88:R88"/>
    <mergeCell ref="S88:AA88"/>
    <mergeCell ref="AB88:AF88"/>
    <mergeCell ref="H89:R89"/>
    <mergeCell ref="S89:U89"/>
    <mergeCell ref="V89:X89"/>
    <mergeCell ref="Y89:AA89"/>
    <mergeCell ref="AB89:AF90"/>
    <mergeCell ref="A90:G90"/>
    <mergeCell ref="S90:U90"/>
    <mergeCell ref="V90:X90"/>
    <mergeCell ref="Y90:AA90"/>
  </mergeCells>
  <conditionalFormatting sqref="D85:V85">
    <cfRule type="containsBlanks" dxfId="136" priority="1">
      <formula>LEN(TRIM(D85))=0</formula>
    </cfRule>
  </conditionalFormatting>
  <conditionalFormatting sqref="N64">
    <cfRule type="containsBlanks" dxfId="135" priority="5">
      <formula>LEN(TRIM(N64))=0</formula>
    </cfRule>
  </conditionalFormatting>
  <conditionalFormatting sqref="N32:Q32 K37:M37 L47:N47 B52:AF52 E64:G64">
    <cfRule type="containsBlanks" dxfId="134" priority="7">
      <formula>LEN(TRIM(B32))=0</formula>
    </cfRule>
  </conditionalFormatting>
  <conditionalFormatting sqref="O37:AF37">
    <cfRule type="containsBlanks" dxfId="133" priority="6">
      <formula>LEN(TRIM(O37))=0</formula>
    </cfRule>
  </conditionalFormatting>
  <conditionalFormatting sqref="S90:X90">
    <cfRule type="containsBlanks" dxfId="132" priority="8">
      <formula>LEN(TRIM(S90))=0</formula>
    </cfRule>
  </conditionalFormatting>
  <printOptions horizontalCentered="1" verticalCentered="1"/>
  <pageMargins left="0.39370078740157483" right="0.39370078740157483" top="0.31496062992125984" bottom="0.31496062992125984" header="0" footer="0"/>
  <pageSetup scale="77" orientation="portrait" r:id="rId1"/>
  <colBreaks count="1" manualBreakCount="1">
    <brk id="32" max="79" man="1"/>
  </colBreaks>
  <drawing r:id="rId2"/>
  <extLst>
    <ext xmlns:x14="http://schemas.microsoft.com/office/spreadsheetml/2009/9/main" uri="{CCE6A557-97BC-4b89-ADB6-D9C93CAAB3DF}">
      <x14:dataValidations xmlns:xm="http://schemas.microsoft.com/office/excel/2006/main" count="9">
        <x14:dataValidation type="list" allowBlank="1" showInputMessage="1" showErrorMessage="1" xr:uid="{560F7E6A-AD0B-054D-B24D-F87E3A87F421}">
          <x14:formula1>
            <xm:f>P2002JF!$BI$23:$BI$24</xm:f>
          </x14:formula1>
          <xm:sqref>K37</xm:sqref>
        </x14:dataValidation>
        <x14:dataValidation type="list" allowBlank="1" showInputMessage="1" showErrorMessage="1" xr:uid="{8DB510B5-3A73-EC4C-8FD8-C3E4783FCFE8}">
          <x14:formula1>
            <xm:f>P2002JF!$BI$24:$BI$54</xm:f>
          </x14:formula1>
          <xm:sqref>S90:U90</xm:sqref>
        </x14:dataValidation>
        <x14:dataValidation type="list" allowBlank="1" showInputMessage="1" showErrorMessage="1" xr:uid="{B57D56FC-FBB9-9146-A1F0-71F5B76ADFBD}">
          <x14:formula1>
            <xm:f>P2002JF!$BI$23:$BI$27</xm:f>
          </x14:formula1>
          <xm:sqref>L47</xm:sqref>
        </x14:dataValidation>
        <x14:dataValidation type="list" allowBlank="1" showInputMessage="1" showErrorMessage="1" xr:uid="{664189CB-E39C-714C-9310-5F3C917D63A2}">
          <x14:formula1>
            <xm:f>P2002JF!$BI$23:$BI$28</xm:f>
          </x14:formula1>
          <xm:sqref>P32 M47 F64</xm:sqref>
        </x14:dataValidation>
        <x14:dataValidation type="list" allowBlank="1" showInputMessage="1" showErrorMessage="1" xr:uid="{CABDC7D3-120C-4348-B83C-0B69CFAA443A}">
          <x14:formula1>
            <xm:f>P2002JF!$BI$23:$BI$32</xm:f>
          </x14:formula1>
          <xm:sqref>O32 Q32 N47 G64 L37</xm:sqref>
        </x14:dataValidation>
        <x14:dataValidation type="list" allowBlank="1" showInputMessage="1" showErrorMessage="1" xr:uid="{99205490-4398-CB49-A99F-498AEF086E76}">
          <x14:formula1>
            <xm:f>P2002JF!$BI$23:$BI$25</xm:f>
          </x14:formula1>
          <xm:sqref>N32</xm:sqref>
        </x14:dataValidation>
        <x14:dataValidation type="list" allowBlank="1" showInputMessage="1" showErrorMessage="1" xr:uid="{47F89F4C-CA98-2A4E-B6F5-0D1B712DE51E}">
          <x14:formula1>
            <xm:f>'C172 R-S'!$BB$34:$BB$37</xm:f>
          </x14:formula1>
          <xm:sqref>N64</xm:sqref>
        </x14:dataValidation>
        <x14:dataValidation type="list" allowBlank="1" showInputMessage="1" showErrorMessage="1" xr:uid="{0918DBA7-A67D-0049-9920-62D469723973}">
          <x14:formula1>
            <xm:f>P2002JF!$BI$24:$BI$35</xm:f>
          </x14:formula1>
          <xm:sqref>V90:X90</xm:sqref>
        </x14:dataValidation>
        <x14:dataValidation type="list" allowBlank="1" showInputMessage="1" showErrorMessage="1" xr:uid="{E66565A9-3D1E-2B40-8111-936A63597F05}">
          <x14:formula1>
            <xm:f>P2002JF!$BI$23:$BI$29</xm:f>
          </x14:formula1>
          <xm:sqref>E64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0B693-BE85-1140-A05E-455EF6162CC8}">
  <sheetPr>
    <tabColor theme="7" tint="-0.249977111117893"/>
    <pageSetUpPr fitToPage="1"/>
  </sheetPr>
  <dimension ref="A1:AG93"/>
  <sheetViews>
    <sheetView showGridLines="0" view="pageBreakPreview" zoomScale="110" zoomScaleNormal="83" zoomScaleSheetLayoutView="110" workbookViewId="0">
      <selection activeCell="K37" sqref="K37"/>
    </sheetView>
  </sheetViews>
  <sheetFormatPr baseColWidth="10" defaultColWidth="10.88671875" defaultRowHeight="15.9" customHeight="1" x14ac:dyDescent="0.3"/>
  <cols>
    <col min="1" max="48" width="3.109375" style="200" customWidth="1"/>
    <col min="49" max="16384" width="10.88671875" style="200"/>
  </cols>
  <sheetData>
    <row r="1" spans="1:32" ht="12" customHeight="1" x14ac:dyDescent="0.3">
      <c r="A1" s="199"/>
      <c r="B1" s="199"/>
      <c r="C1" s="199"/>
      <c r="D1" s="199"/>
      <c r="E1" s="199"/>
      <c r="F1" s="199"/>
      <c r="G1" s="199"/>
      <c r="H1" s="199"/>
      <c r="I1" s="199"/>
      <c r="J1" s="199"/>
      <c r="K1" s="199"/>
      <c r="L1" s="199"/>
      <c r="M1" s="199"/>
      <c r="N1" s="199"/>
      <c r="O1" s="199"/>
      <c r="P1" s="199"/>
      <c r="Q1" s="199"/>
      <c r="R1" s="199"/>
      <c r="S1" s="199"/>
      <c r="T1" s="199"/>
      <c r="U1" s="199"/>
      <c r="V1" s="199"/>
      <c r="W1" s="199"/>
      <c r="X1" s="199"/>
      <c r="Y1" s="199"/>
      <c r="Z1" s="199"/>
      <c r="AA1" s="199"/>
      <c r="AB1" s="199"/>
      <c r="AC1" s="199"/>
      <c r="AD1" s="199"/>
      <c r="AE1" s="199"/>
      <c r="AF1" s="199"/>
    </row>
    <row r="2" spans="1:32" ht="15" customHeight="1" x14ac:dyDescent="0.3">
      <c r="A2" s="199"/>
      <c r="B2" s="199"/>
      <c r="C2" s="199"/>
      <c r="D2" s="199"/>
      <c r="E2" s="199"/>
      <c r="F2" s="199"/>
      <c r="G2" s="199"/>
      <c r="H2" s="199"/>
      <c r="I2" s="199"/>
      <c r="J2" s="554" t="s">
        <v>728</v>
      </c>
      <c r="K2" s="554"/>
      <c r="L2" s="554"/>
      <c r="M2" s="554"/>
      <c r="N2" s="554"/>
      <c r="O2" s="554"/>
      <c r="P2" s="554"/>
      <c r="Q2" s="554"/>
      <c r="R2" s="554"/>
      <c r="S2" s="554"/>
      <c r="T2" s="554"/>
      <c r="U2" s="554"/>
      <c r="V2" s="554"/>
      <c r="W2" s="554"/>
      <c r="X2" s="554"/>
      <c r="Y2" s="554"/>
      <c r="Z2" s="554"/>
      <c r="AA2" s="554"/>
      <c r="AB2" s="554"/>
      <c r="AC2" s="554"/>
      <c r="AD2" s="554"/>
      <c r="AE2" s="554"/>
      <c r="AF2" s="554"/>
    </row>
    <row r="3" spans="1:32" ht="15" customHeight="1" x14ac:dyDescent="0.25">
      <c r="A3" s="199"/>
      <c r="B3" s="201"/>
      <c r="C3" s="199"/>
      <c r="D3" s="199"/>
      <c r="E3" s="199"/>
      <c r="F3" s="199"/>
      <c r="G3" s="199"/>
      <c r="H3" s="199"/>
      <c r="I3" s="199"/>
      <c r="J3" s="511" t="s">
        <v>726</v>
      </c>
      <c r="K3" s="511"/>
      <c r="L3" s="511"/>
      <c r="M3" s="511"/>
      <c r="N3" s="511"/>
      <c r="O3" s="511"/>
      <c r="P3" s="511"/>
      <c r="Q3" s="511"/>
      <c r="R3" s="511"/>
      <c r="S3" s="511"/>
      <c r="T3" s="511"/>
      <c r="U3" s="511"/>
      <c r="V3" s="511"/>
      <c r="W3" s="511"/>
      <c r="X3" s="511"/>
      <c r="Y3" s="511"/>
      <c r="Z3" s="511"/>
      <c r="AA3" s="511"/>
      <c r="AB3" s="511"/>
      <c r="AC3" s="511"/>
      <c r="AD3" s="511"/>
      <c r="AE3" s="511"/>
      <c r="AF3" s="511"/>
    </row>
    <row r="4" spans="1:32" ht="20.100000000000001" customHeight="1" x14ac:dyDescent="0.3">
      <c r="A4" s="555" t="s">
        <v>793</v>
      </c>
      <c r="B4" s="555"/>
      <c r="C4" s="555"/>
      <c r="D4" s="555"/>
      <c r="E4" s="555"/>
      <c r="F4" s="555"/>
      <c r="G4" s="555"/>
      <c r="H4" s="555"/>
      <c r="I4" s="555"/>
      <c r="J4" s="556" t="s">
        <v>792</v>
      </c>
      <c r="K4" s="556"/>
      <c r="L4" s="556"/>
      <c r="M4" s="556"/>
      <c r="N4" s="556"/>
      <c r="O4" s="556"/>
      <c r="P4" s="556"/>
      <c r="Q4" s="556"/>
      <c r="R4" s="556"/>
      <c r="S4" s="556"/>
      <c r="T4" s="556"/>
      <c r="U4" s="556"/>
      <c r="V4" s="556"/>
      <c r="W4" s="556"/>
      <c r="X4" s="556"/>
      <c r="Y4" s="556"/>
      <c r="Z4" s="556"/>
      <c r="AA4" s="556"/>
      <c r="AB4" s="556"/>
      <c r="AC4" s="556"/>
      <c r="AD4" s="556"/>
      <c r="AE4" s="556"/>
      <c r="AF4" s="556"/>
    </row>
    <row r="5" spans="1:32" ht="9.9" customHeight="1" x14ac:dyDescent="0.3">
      <c r="A5" s="555"/>
      <c r="B5" s="555"/>
      <c r="C5" s="555"/>
      <c r="D5" s="555"/>
      <c r="E5" s="555"/>
      <c r="F5" s="555"/>
      <c r="G5" s="555"/>
      <c r="H5" s="555"/>
      <c r="I5" s="555"/>
      <c r="J5" s="199"/>
      <c r="K5" s="199"/>
      <c r="L5" s="199"/>
      <c r="M5" s="199"/>
      <c r="N5" s="199"/>
      <c r="O5" s="199"/>
      <c r="P5" s="199"/>
      <c r="Q5" s="199"/>
      <c r="R5" s="199"/>
      <c r="S5" s="199"/>
      <c r="T5" s="199"/>
      <c r="U5" s="199"/>
      <c r="V5" s="199"/>
      <c r="W5" s="199"/>
      <c r="X5" s="199"/>
      <c r="Y5" s="199"/>
      <c r="Z5" s="199"/>
      <c r="AA5" s="199"/>
      <c r="AB5" s="199"/>
      <c r="AC5" s="199"/>
      <c r="AD5" s="199"/>
      <c r="AE5" s="199"/>
      <c r="AF5" s="199"/>
    </row>
    <row r="6" spans="1:32" ht="6" customHeight="1" x14ac:dyDescent="0.3">
      <c r="A6" s="203"/>
      <c r="B6" s="199"/>
      <c r="C6" s="199"/>
      <c r="D6" s="199"/>
      <c r="E6" s="199"/>
      <c r="F6" s="199"/>
      <c r="G6" s="199"/>
      <c r="H6" s="199"/>
      <c r="I6" s="199"/>
      <c r="J6" s="199"/>
      <c r="K6" s="199"/>
      <c r="L6" s="199"/>
      <c r="M6" s="199"/>
      <c r="N6" s="199"/>
      <c r="O6" s="199"/>
      <c r="P6" s="199"/>
      <c r="Q6" s="199"/>
      <c r="R6" s="199"/>
      <c r="S6" s="199"/>
      <c r="T6" s="199"/>
      <c r="U6" s="199"/>
      <c r="V6" s="199"/>
      <c r="W6" s="199"/>
      <c r="X6" s="199"/>
      <c r="Y6" s="199"/>
      <c r="Z6" s="199"/>
      <c r="AA6" s="199"/>
      <c r="AB6" s="199"/>
      <c r="AC6" s="199"/>
      <c r="AD6" s="199"/>
      <c r="AE6" s="199"/>
      <c r="AF6" s="204"/>
    </row>
    <row r="7" spans="1:32" ht="12" customHeight="1" x14ac:dyDescent="0.3">
      <c r="A7" s="203"/>
      <c r="B7" s="199"/>
      <c r="C7" s="199"/>
      <c r="D7" s="199"/>
      <c r="E7" s="199"/>
      <c r="F7" s="199"/>
      <c r="G7" s="199"/>
      <c r="H7" s="557" t="s">
        <v>727</v>
      </c>
      <c r="I7" s="557"/>
      <c r="J7" s="557"/>
      <c r="K7" s="557"/>
      <c r="L7" s="557"/>
      <c r="M7" s="557"/>
      <c r="N7" s="557"/>
      <c r="O7" s="557"/>
      <c r="P7" s="557"/>
      <c r="Q7" s="557"/>
      <c r="R7" s="557"/>
      <c r="S7" s="557"/>
      <c r="T7" s="557"/>
      <c r="U7" s="557"/>
      <c r="V7" s="557"/>
      <c r="W7" s="557"/>
      <c r="X7" s="557"/>
      <c r="Y7" s="557"/>
      <c r="Z7" s="557"/>
      <c r="AA7" s="557"/>
      <c r="AB7" s="557"/>
      <c r="AC7" s="557"/>
      <c r="AD7" s="557"/>
      <c r="AE7" s="557"/>
      <c r="AF7" s="558"/>
    </row>
    <row r="8" spans="1:32" ht="15.9" customHeight="1" x14ac:dyDescent="0.3">
      <c r="A8" s="559" t="s">
        <v>797</v>
      </c>
      <c r="B8" s="560"/>
      <c r="C8" s="560"/>
      <c r="D8" s="560"/>
      <c r="E8" s="560"/>
      <c r="F8" s="560"/>
      <c r="G8" s="561"/>
      <c r="H8" s="562"/>
      <c r="I8" s="562"/>
      <c r="J8" s="562"/>
      <c r="K8" s="562"/>
      <c r="L8" s="562"/>
      <c r="M8" s="562"/>
      <c r="N8" s="562"/>
      <c r="O8" s="562"/>
      <c r="P8" s="562"/>
      <c r="Q8" s="562"/>
      <c r="R8" s="562"/>
      <c r="S8" s="562"/>
      <c r="T8" s="562"/>
      <c r="U8" s="562"/>
      <c r="V8" s="562"/>
      <c r="W8" s="562"/>
      <c r="X8" s="562"/>
      <c r="Y8" s="562"/>
      <c r="Z8" s="562"/>
      <c r="AA8" s="562"/>
      <c r="AB8" s="562"/>
      <c r="AC8" s="562"/>
      <c r="AD8" s="562"/>
      <c r="AE8" s="562"/>
      <c r="AF8" s="562"/>
    </row>
    <row r="9" spans="1:32" ht="15.9" customHeight="1" x14ac:dyDescent="0.3">
      <c r="A9" s="540" t="s">
        <v>838</v>
      </c>
      <c r="B9" s="541"/>
      <c r="C9" s="541"/>
      <c r="D9" s="541"/>
      <c r="E9" s="205"/>
      <c r="F9" s="199"/>
      <c r="G9" s="199"/>
      <c r="H9" s="562"/>
      <c r="I9" s="562"/>
      <c r="J9" s="562"/>
      <c r="K9" s="562"/>
      <c r="L9" s="562"/>
      <c r="M9" s="562"/>
      <c r="N9" s="562"/>
      <c r="O9" s="562"/>
      <c r="P9" s="562"/>
      <c r="Q9" s="562"/>
      <c r="R9" s="562"/>
      <c r="S9" s="562"/>
      <c r="T9" s="562"/>
      <c r="U9" s="562"/>
      <c r="V9" s="562"/>
      <c r="W9" s="562"/>
      <c r="X9" s="562"/>
      <c r="Y9" s="562"/>
      <c r="Z9" s="562"/>
      <c r="AA9" s="562"/>
      <c r="AB9" s="562"/>
      <c r="AC9" s="562"/>
      <c r="AD9" s="562"/>
      <c r="AE9" s="562"/>
      <c r="AF9" s="562"/>
    </row>
    <row r="10" spans="1:32" ht="8.1" customHeight="1" x14ac:dyDescent="0.3">
      <c r="A10" s="203"/>
      <c r="B10" s="199"/>
      <c r="C10" s="199"/>
      <c r="D10" s="199"/>
      <c r="E10" s="199"/>
      <c r="F10" s="199"/>
      <c r="G10" s="199"/>
      <c r="H10" s="562"/>
      <c r="I10" s="562"/>
      <c r="J10" s="562"/>
      <c r="K10" s="562"/>
      <c r="L10" s="562"/>
      <c r="M10" s="562"/>
      <c r="N10" s="562"/>
      <c r="O10" s="562"/>
      <c r="P10" s="562"/>
      <c r="Q10" s="562"/>
      <c r="R10" s="562"/>
      <c r="S10" s="562"/>
      <c r="T10" s="562"/>
      <c r="U10" s="562"/>
      <c r="V10" s="562"/>
      <c r="W10" s="562"/>
      <c r="X10" s="562"/>
      <c r="Y10" s="562"/>
      <c r="Z10" s="562"/>
      <c r="AA10" s="562"/>
      <c r="AB10" s="562"/>
      <c r="AC10" s="531" t="s">
        <v>821</v>
      </c>
      <c r="AD10" s="531"/>
      <c r="AE10" s="531"/>
      <c r="AF10" s="531"/>
    </row>
    <row r="11" spans="1:32" ht="9.9" customHeight="1" x14ac:dyDescent="0.3">
      <c r="A11" s="559" t="s">
        <v>822</v>
      </c>
      <c r="B11" s="560"/>
      <c r="C11" s="560"/>
      <c r="D11" s="560"/>
      <c r="E11" s="560"/>
      <c r="F11" s="560"/>
      <c r="G11" s="199"/>
      <c r="H11" s="562"/>
      <c r="I11" s="562"/>
      <c r="J11" s="562"/>
      <c r="K11" s="562"/>
      <c r="L11" s="562"/>
      <c r="M11" s="562"/>
      <c r="N11" s="562"/>
      <c r="O11" s="562"/>
      <c r="P11" s="562"/>
      <c r="Q11" s="562"/>
      <c r="R11" s="562"/>
      <c r="S11" s="562"/>
      <c r="T11" s="562"/>
      <c r="U11" s="562"/>
      <c r="V11" s="562"/>
      <c r="W11" s="562"/>
      <c r="X11" s="562"/>
      <c r="Y11" s="562"/>
      <c r="Z11" s="562"/>
      <c r="AA11" s="562"/>
      <c r="AB11" s="562"/>
      <c r="AC11" s="531"/>
      <c r="AD11" s="531"/>
      <c r="AE11" s="531"/>
      <c r="AF11" s="531"/>
    </row>
    <row r="12" spans="1:32" ht="12" customHeight="1" x14ac:dyDescent="0.3">
      <c r="A12" s="551" t="s">
        <v>823</v>
      </c>
      <c r="B12" s="552"/>
      <c r="C12" s="552"/>
      <c r="D12" s="552"/>
      <c r="E12" s="552"/>
      <c r="F12" s="552"/>
      <c r="G12" s="199"/>
      <c r="H12" s="199"/>
      <c r="I12" s="553" t="s">
        <v>796</v>
      </c>
      <c r="J12" s="553"/>
      <c r="K12" s="553"/>
      <c r="L12" s="553"/>
      <c r="M12" s="553"/>
      <c r="N12" s="553"/>
      <c r="O12" s="553"/>
      <c r="P12" s="553"/>
      <c r="Q12" s="199"/>
      <c r="R12" s="199"/>
      <c r="S12" s="199"/>
      <c r="T12" s="199"/>
      <c r="U12" s="199"/>
      <c r="V12" s="199"/>
      <c r="W12" s="199"/>
      <c r="X12" s="199"/>
      <c r="Y12" s="199"/>
      <c r="Z12" s="199"/>
      <c r="AA12" s="199"/>
      <c r="AB12" s="199"/>
      <c r="AC12" s="199"/>
      <c r="AD12" s="199"/>
      <c r="AE12" s="199"/>
      <c r="AF12" s="204"/>
    </row>
    <row r="13" spans="1:32" ht="18" customHeight="1" x14ac:dyDescent="0.3">
      <c r="A13" s="206"/>
      <c r="B13" s="207"/>
      <c r="C13" s="206"/>
      <c r="D13" s="208"/>
      <c r="E13" s="208"/>
      <c r="F13" s="207"/>
      <c r="G13" s="199"/>
      <c r="H13" s="199"/>
      <c r="I13" s="206"/>
      <c r="J13" s="208"/>
      <c r="K13" s="208"/>
      <c r="L13" s="208"/>
      <c r="M13" s="208"/>
      <c r="N13" s="208"/>
      <c r="O13" s="208"/>
      <c r="P13" s="207"/>
      <c r="Q13" s="540" t="s">
        <v>821</v>
      </c>
      <c r="R13" s="541"/>
      <c r="S13" s="541"/>
      <c r="T13" s="209"/>
      <c r="U13" s="199"/>
      <c r="V13" s="199"/>
      <c r="W13" s="199"/>
      <c r="X13" s="199"/>
      <c r="Y13" s="199"/>
      <c r="Z13" s="199"/>
      <c r="AA13" s="199"/>
      <c r="AB13" s="199"/>
      <c r="AC13" s="199"/>
      <c r="AD13" s="199"/>
      <c r="AE13" s="199"/>
      <c r="AF13" s="204"/>
    </row>
    <row r="14" spans="1:32" ht="14.1" customHeight="1" x14ac:dyDescent="0.3">
      <c r="A14" s="542" t="s">
        <v>794</v>
      </c>
      <c r="B14" s="543"/>
      <c r="C14" s="543"/>
      <c r="D14" s="543"/>
      <c r="E14" s="543"/>
      <c r="F14" s="543"/>
      <c r="G14" s="543"/>
      <c r="H14" s="543"/>
      <c r="I14" s="543"/>
      <c r="J14" s="543"/>
      <c r="K14" s="543"/>
      <c r="L14" s="543"/>
      <c r="M14" s="543"/>
      <c r="N14" s="543"/>
      <c r="O14" s="543"/>
      <c r="P14" s="543"/>
      <c r="Q14" s="543"/>
      <c r="R14" s="543"/>
      <c r="S14" s="543"/>
      <c r="T14" s="543"/>
      <c r="U14" s="543"/>
      <c r="V14" s="543"/>
      <c r="W14" s="543"/>
      <c r="X14" s="543"/>
      <c r="Y14" s="543"/>
      <c r="Z14" s="543"/>
      <c r="AA14" s="543"/>
      <c r="AB14" s="543"/>
      <c r="AC14" s="543"/>
      <c r="AD14" s="543"/>
      <c r="AE14" s="543"/>
      <c r="AF14" s="544"/>
    </row>
    <row r="15" spans="1:32" ht="9.9" customHeight="1" x14ac:dyDescent="0.3">
      <c r="A15" s="545" t="s">
        <v>795</v>
      </c>
      <c r="B15" s="546"/>
      <c r="C15" s="546"/>
      <c r="D15" s="546"/>
      <c r="E15" s="546"/>
      <c r="F15" s="546"/>
      <c r="G15" s="546"/>
      <c r="H15" s="546"/>
      <c r="I15" s="546"/>
      <c r="J15" s="546"/>
      <c r="K15" s="546"/>
      <c r="L15" s="546"/>
      <c r="M15" s="546"/>
      <c r="N15" s="546"/>
      <c r="O15" s="546"/>
      <c r="P15" s="546"/>
      <c r="Q15" s="546"/>
      <c r="R15" s="546"/>
      <c r="S15" s="546"/>
      <c r="T15" s="546"/>
      <c r="U15" s="546"/>
      <c r="V15" s="546"/>
      <c r="W15" s="546"/>
      <c r="X15" s="546"/>
      <c r="Y15" s="546"/>
      <c r="Z15" s="546"/>
      <c r="AA15" s="546"/>
      <c r="AB15" s="546"/>
      <c r="AC15" s="546"/>
      <c r="AD15" s="546"/>
      <c r="AE15" s="546"/>
      <c r="AF15" s="547"/>
    </row>
    <row r="16" spans="1:32" ht="3" customHeight="1" x14ac:dyDescent="0.3">
      <c r="A16" s="210"/>
      <c r="B16" s="211"/>
      <c r="C16" s="211"/>
      <c r="D16" s="211"/>
      <c r="E16" s="211"/>
      <c r="F16" s="211"/>
      <c r="G16" s="211"/>
      <c r="H16" s="211"/>
      <c r="I16" s="211"/>
      <c r="J16" s="211"/>
      <c r="K16" s="211"/>
      <c r="L16" s="211"/>
      <c r="M16" s="211"/>
      <c r="N16" s="211"/>
      <c r="O16" s="211"/>
      <c r="P16" s="211"/>
      <c r="Q16" s="211"/>
      <c r="R16" s="211"/>
      <c r="S16" s="211"/>
      <c r="T16" s="211"/>
      <c r="U16" s="211"/>
      <c r="V16" s="211"/>
      <c r="W16" s="211"/>
      <c r="X16" s="211"/>
      <c r="Y16" s="211"/>
      <c r="Z16" s="211"/>
      <c r="AA16" s="211"/>
      <c r="AB16" s="211"/>
      <c r="AC16" s="211"/>
      <c r="AD16" s="211"/>
      <c r="AE16" s="211"/>
      <c r="AF16" s="212"/>
    </row>
    <row r="17" spans="1:32" ht="11.1" customHeight="1" x14ac:dyDescent="0.3">
      <c r="A17" s="548"/>
      <c r="B17" s="548"/>
      <c r="C17" s="548"/>
      <c r="D17" s="548"/>
      <c r="E17" s="548"/>
      <c r="F17" s="548"/>
      <c r="G17" s="548"/>
      <c r="H17" s="548"/>
      <c r="I17" s="548"/>
      <c r="J17" s="548"/>
      <c r="K17" s="548"/>
      <c r="L17" s="548"/>
      <c r="M17" s="548"/>
      <c r="N17" s="548"/>
      <c r="O17" s="548"/>
      <c r="P17" s="548"/>
      <c r="Q17" s="548"/>
      <c r="R17" s="548"/>
      <c r="S17" s="548"/>
      <c r="T17" s="548"/>
      <c r="U17" s="548"/>
      <c r="V17" s="548"/>
      <c r="W17" s="548"/>
      <c r="X17" s="548"/>
      <c r="Y17" s="548"/>
      <c r="Z17" s="548"/>
      <c r="AA17" s="548"/>
      <c r="AB17" s="548"/>
      <c r="AC17" s="548"/>
      <c r="AD17" s="548"/>
      <c r="AE17" s="548"/>
      <c r="AF17" s="548"/>
    </row>
    <row r="18" spans="1:32" ht="2.1" customHeight="1" x14ac:dyDescent="0.3">
      <c r="A18" s="213"/>
      <c r="B18" s="214"/>
      <c r="C18" s="214"/>
      <c r="D18" s="214"/>
      <c r="E18" s="214"/>
      <c r="F18" s="214"/>
      <c r="G18" s="214"/>
      <c r="H18" s="214"/>
      <c r="I18" s="214"/>
      <c r="J18" s="214"/>
      <c r="K18" s="214"/>
      <c r="L18" s="214"/>
      <c r="M18" s="214"/>
      <c r="N18" s="214"/>
      <c r="O18" s="214"/>
      <c r="P18" s="214"/>
      <c r="Q18" s="214"/>
      <c r="R18" s="214"/>
      <c r="S18" s="214"/>
      <c r="T18" s="214"/>
      <c r="U18" s="214"/>
      <c r="V18" s="214"/>
      <c r="W18" s="214"/>
      <c r="X18" s="214"/>
      <c r="Y18" s="214"/>
      <c r="Z18" s="214"/>
      <c r="AA18" s="214"/>
      <c r="AB18" s="214"/>
      <c r="AC18" s="214"/>
      <c r="AD18" s="214"/>
      <c r="AE18" s="214"/>
      <c r="AF18" s="215"/>
    </row>
    <row r="19" spans="1:32" s="219" customFormat="1" ht="12" customHeight="1" x14ac:dyDescent="0.3">
      <c r="A19" s="216"/>
      <c r="B19" s="217" t="s">
        <v>729</v>
      </c>
      <c r="C19" s="217"/>
      <c r="D19" s="217"/>
      <c r="E19" s="217"/>
      <c r="F19" s="217"/>
      <c r="G19" s="217"/>
      <c r="H19" s="217"/>
      <c r="I19" s="217" t="s">
        <v>732</v>
      </c>
      <c r="J19" s="217"/>
      <c r="K19" s="217"/>
      <c r="L19" s="217"/>
      <c r="M19" s="217"/>
      <c r="N19" s="217"/>
      <c r="O19" s="217"/>
      <c r="P19" s="217"/>
      <c r="Q19" s="217"/>
      <c r="R19" s="217"/>
      <c r="S19" s="217"/>
      <c r="T19" s="217"/>
      <c r="U19" s="217" t="s">
        <v>733</v>
      </c>
      <c r="V19" s="217"/>
      <c r="W19" s="217"/>
      <c r="X19" s="217"/>
      <c r="Y19" s="217"/>
      <c r="Z19" s="217"/>
      <c r="AA19" s="217"/>
      <c r="AB19" s="217" t="s">
        <v>159</v>
      </c>
      <c r="AC19" s="217"/>
      <c r="AD19" s="217"/>
      <c r="AE19" s="217"/>
      <c r="AF19" s="218"/>
    </row>
    <row r="20" spans="1:32" s="223" customFormat="1" ht="9.9" customHeight="1" x14ac:dyDescent="0.3">
      <c r="A20" s="220"/>
      <c r="B20" s="221" t="s">
        <v>730</v>
      </c>
      <c r="C20" s="221"/>
      <c r="D20" s="221"/>
      <c r="E20" s="221"/>
      <c r="F20" s="221"/>
      <c r="G20" s="221"/>
      <c r="H20" s="221"/>
      <c r="I20" s="221" t="s">
        <v>799</v>
      </c>
      <c r="J20" s="221"/>
      <c r="K20" s="221"/>
      <c r="L20" s="221"/>
      <c r="M20" s="221"/>
      <c r="N20" s="221"/>
      <c r="O20" s="221"/>
      <c r="P20" s="221"/>
      <c r="Q20" s="221"/>
      <c r="R20" s="221"/>
      <c r="S20" s="221"/>
      <c r="T20" s="221"/>
      <c r="U20" s="221" t="s">
        <v>798</v>
      </c>
      <c r="V20" s="221"/>
      <c r="W20" s="221"/>
      <c r="X20" s="221"/>
      <c r="Y20" s="221"/>
      <c r="Z20" s="221"/>
      <c r="AA20" s="221"/>
      <c r="AB20" s="221" t="s">
        <v>734</v>
      </c>
      <c r="AC20" s="221"/>
      <c r="AD20" s="221"/>
      <c r="AE20" s="221"/>
      <c r="AF20" s="222"/>
    </row>
    <row r="21" spans="1:32" s="223" customFormat="1" ht="2.1" customHeight="1" x14ac:dyDescent="0.3">
      <c r="A21" s="220"/>
      <c r="B21" s="221"/>
      <c r="C21" s="221"/>
      <c r="D21" s="221"/>
      <c r="E21" s="221"/>
      <c r="F21" s="221"/>
      <c r="G21" s="221"/>
      <c r="H21" s="221"/>
      <c r="I21" s="221"/>
      <c r="J21" s="221"/>
      <c r="K21" s="221"/>
      <c r="L21" s="221"/>
      <c r="M21" s="221"/>
      <c r="N21" s="221"/>
      <c r="O21" s="221"/>
      <c r="P21" s="221"/>
      <c r="Q21" s="221"/>
      <c r="R21" s="221"/>
      <c r="S21" s="221"/>
      <c r="T21" s="221"/>
      <c r="U21" s="221"/>
      <c r="V21" s="221"/>
      <c r="W21" s="221"/>
      <c r="X21" s="221"/>
      <c r="Y21" s="221"/>
      <c r="Z21" s="221"/>
      <c r="AA21" s="221"/>
      <c r="AB21" s="221"/>
      <c r="AC21" s="221"/>
      <c r="AD21" s="221"/>
      <c r="AE21" s="221"/>
      <c r="AF21" s="222"/>
    </row>
    <row r="22" spans="1:32" s="232" customFormat="1" ht="15.9" customHeight="1" x14ac:dyDescent="0.3">
      <c r="A22" s="514" t="s">
        <v>821</v>
      </c>
      <c r="B22" s="515"/>
      <c r="C22" s="515"/>
      <c r="D22" s="225" t="s">
        <v>731</v>
      </c>
      <c r="E22" s="225"/>
      <c r="F22" s="225"/>
      <c r="G22" s="225"/>
      <c r="H22" s="226" t="s">
        <v>825</v>
      </c>
      <c r="I22" s="227" t="s">
        <v>832</v>
      </c>
      <c r="J22" s="228" t="s">
        <v>827</v>
      </c>
      <c r="K22" s="228">
        <v>5</v>
      </c>
      <c r="L22" s="228" t="str">
        <f>IF(P2002JF!AA8="HK-5092G","0",IF(P2002JF!AA8="HK-5183G","1",IF(P2002JF!AA8="HK-5252G","2",IF(P2002JF!AA8="HK-5206G","2","?"))))</f>
        <v>?</v>
      </c>
      <c r="M22" s="228" t="str">
        <f>IF(P2002JF!AA8="HK-5092G","9",IF(P2002JF!AA8="HK-5183G","8",IF(P2002JF!AA8="HK-5252G","5",IF(P2002JF!AA8="HK-5206G","0","?"))))</f>
        <v>?</v>
      </c>
      <c r="N22" s="228" t="str">
        <f>IF(P2002JF!AA8="HK-5092G","2",IF(P2002JF!AA8="HK-5183G","3",IF(P2002JF!AA8="HK-5252G","2",IF(P2002JF!AA8="HK-5206G","6","?"))))</f>
        <v>?</v>
      </c>
      <c r="O22" s="229" t="s">
        <v>828</v>
      </c>
      <c r="P22" s="225"/>
      <c r="Q22" s="225"/>
      <c r="R22" s="225"/>
      <c r="S22" s="225"/>
      <c r="T22" s="225"/>
      <c r="U22" s="226" t="s">
        <v>825</v>
      </c>
      <c r="V22" s="230" t="s">
        <v>816</v>
      </c>
      <c r="W22" s="225"/>
      <c r="X22" s="225"/>
      <c r="Y22" s="225"/>
      <c r="Z22" s="225"/>
      <c r="AA22" s="225"/>
      <c r="AB22" s="225"/>
      <c r="AC22" s="230" t="s">
        <v>828</v>
      </c>
      <c r="AD22" s="514" t="s">
        <v>821</v>
      </c>
      <c r="AE22" s="515"/>
      <c r="AF22" s="516"/>
    </row>
    <row r="23" spans="1:32" ht="6.9" customHeight="1" x14ac:dyDescent="0.3">
      <c r="A23" s="233"/>
      <c r="B23" s="234"/>
      <c r="C23" s="234"/>
      <c r="D23" s="234"/>
      <c r="E23" s="234"/>
      <c r="F23" s="234"/>
      <c r="G23" s="234"/>
      <c r="H23" s="234"/>
      <c r="I23" s="234"/>
      <c r="J23" s="234"/>
      <c r="K23" s="234"/>
      <c r="L23" s="234"/>
      <c r="M23" s="234"/>
      <c r="N23" s="234"/>
      <c r="O23" s="234"/>
      <c r="P23" s="234"/>
      <c r="Q23" s="234"/>
      <c r="R23" s="234"/>
      <c r="S23" s="234"/>
      <c r="T23" s="234"/>
      <c r="U23" s="234"/>
      <c r="V23" s="234"/>
      <c r="W23" s="234"/>
      <c r="X23" s="234"/>
      <c r="Y23" s="234"/>
      <c r="Z23" s="234"/>
      <c r="AA23" s="234"/>
      <c r="AB23" s="234"/>
      <c r="AC23" s="234"/>
      <c r="AD23" s="234"/>
      <c r="AE23" s="234"/>
      <c r="AF23" s="235"/>
    </row>
    <row r="24" spans="1:32" s="219" customFormat="1" ht="11.1" customHeight="1" x14ac:dyDescent="0.3">
      <c r="A24" s="216"/>
      <c r="B24" s="217" t="s">
        <v>736</v>
      </c>
      <c r="C24" s="217"/>
      <c r="D24" s="217"/>
      <c r="E24" s="217" t="s">
        <v>737</v>
      </c>
      <c r="F24" s="217"/>
      <c r="G24" s="217"/>
      <c r="H24" s="217"/>
      <c r="I24" s="217"/>
      <c r="J24" s="217"/>
      <c r="K24" s="217" t="s">
        <v>740</v>
      </c>
      <c r="L24" s="217"/>
      <c r="M24" s="217"/>
      <c r="N24" s="217"/>
      <c r="O24" s="217"/>
      <c r="P24" s="217"/>
      <c r="Q24" s="217"/>
      <c r="R24" s="217"/>
      <c r="S24" s="217"/>
      <c r="T24" s="217"/>
      <c r="U24" s="217"/>
      <c r="V24" s="217"/>
      <c r="W24" s="217" t="s">
        <v>742</v>
      </c>
      <c r="X24" s="217"/>
      <c r="Y24" s="217"/>
      <c r="Z24" s="217"/>
      <c r="AA24" s="217"/>
      <c r="AB24" s="217"/>
      <c r="AC24" s="217"/>
      <c r="AD24" s="217"/>
      <c r="AE24" s="217"/>
      <c r="AF24" s="218"/>
    </row>
    <row r="25" spans="1:32" s="239" customFormat="1" ht="9" customHeight="1" x14ac:dyDescent="0.15">
      <c r="A25" s="236"/>
      <c r="B25" s="237" t="s">
        <v>738</v>
      </c>
      <c r="C25" s="237"/>
      <c r="D25" s="237"/>
      <c r="E25" s="237" t="s">
        <v>844</v>
      </c>
      <c r="F25" s="237"/>
      <c r="G25" s="237"/>
      <c r="H25" s="237"/>
      <c r="I25" s="237"/>
      <c r="J25" s="237"/>
      <c r="K25" s="237" t="s">
        <v>741</v>
      </c>
      <c r="L25" s="237"/>
      <c r="M25" s="237"/>
      <c r="N25" s="237"/>
      <c r="O25" s="237"/>
      <c r="P25" s="237"/>
      <c r="Q25" s="237"/>
      <c r="R25" s="237"/>
      <c r="S25" s="237"/>
      <c r="T25" s="237"/>
      <c r="U25" s="237"/>
      <c r="V25" s="237"/>
      <c r="W25" s="237"/>
      <c r="X25" s="237"/>
      <c r="Y25" s="237"/>
      <c r="Z25" s="237"/>
      <c r="AA25" s="237"/>
      <c r="AB25" s="237"/>
      <c r="AC25" s="237"/>
      <c r="AD25" s="237"/>
      <c r="AE25" s="237"/>
      <c r="AF25" s="238"/>
    </row>
    <row r="26" spans="1:32" s="239" customFormat="1" ht="2.1" customHeight="1" x14ac:dyDescent="0.15">
      <c r="A26" s="236"/>
      <c r="B26" s="237"/>
      <c r="C26" s="237"/>
      <c r="D26" s="237"/>
      <c r="E26" s="237"/>
      <c r="F26" s="237"/>
      <c r="G26" s="237"/>
      <c r="H26" s="237"/>
      <c r="I26" s="237"/>
      <c r="J26" s="237"/>
      <c r="K26" s="237"/>
      <c r="L26" s="237"/>
      <c r="M26" s="237"/>
      <c r="N26" s="237"/>
      <c r="O26" s="237"/>
      <c r="P26" s="237"/>
      <c r="Q26" s="237"/>
      <c r="R26" s="237"/>
      <c r="S26" s="237"/>
      <c r="T26" s="237"/>
      <c r="U26" s="237"/>
      <c r="V26" s="237"/>
      <c r="W26" s="237"/>
      <c r="X26" s="237"/>
      <c r="Y26" s="237"/>
      <c r="Z26" s="237"/>
      <c r="AA26" s="237"/>
      <c r="AB26" s="237"/>
      <c r="AC26" s="237"/>
      <c r="AD26" s="237"/>
      <c r="AE26" s="237"/>
      <c r="AF26" s="238"/>
    </row>
    <row r="27" spans="1:32" ht="15.9" customHeight="1" x14ac:dyDescent="0.3">
      <c r="A27" s="240" t="s">
        <v>825</v>
      </c>
      <c r="B27" s="227">
        <v>0</v>
      </c>
      <c r="C27" s="229">
        <v>1</v>
      </c>
      <c r="D27" s="234"/>
      <c r="E27" s="227" t="s">
        <v>824</v>
      </c>
      <c r="F27" s="228" t="s">
        <v>830</v>
      </c>
      <c r="G27" s="228" t="s">
        <v>831</v>
      </c>
      <c r="H27" s="229" t="s">
        <v>413</v>
      </c>
      <c r="I27" s="234"/>
      <c r="J27" s="241" t="s">
        <v>739</v>
      </c>
      <c r="K27" s="230" t="s">
        <v>817</v>
      </c>
      <c r="L27" s="242" t="s">
        <v>825</v>
      </c>
      <c r="M27" s="243"/>
      <c r="N27" s="234"/>
      <c r="O27" s="234"/>
      <c r="P27" s="234"/>
      <c r="Q27" s="549" t="s">
        <v>824</v>
      </c>
      <c r="R27" s="550"/>
      <c r="S27" s="550"/>
      <c r="T27" s="550"/>
      <c r="U27" s="550"/>
      <c r="V27" s="550"/>
      <c r="W27" s="244" t="s">
        <v>739</v>
      </c>
      <c r="X27" s="487" t="s">
        <v>429</v>
      </c>
      <c r="Y27" s="487"/>
      <c r="Z27" s="487"/>
      <c r="AA27" s="487"/>
      <c r="AB27" s="487"/>
      <c r="AC27" s="488"/>
      <c r="AD27" s="515" t="s">
        <v>821</v>
      </c>
      <c r="AE27" s="515"/>
      <c r="AF27" s="516"/>
    </row>
    <row r="28" spans="1:32" ht="5.0999999999999996" customHeight="1" x14ac:dyDescent="0.3">
      <c r="A28" s="233"/>
      <c r="B28" s="234"/>
      <c r="C28" s="234"/>
      <c r="D28" s="234"/>
      <c r="E28" s="234"/>
      <c r="F28" s="234"/>
      <c r="G28" s="234"/>
      <c r="H28" s="234"/>
      <c r="I28" s="234"/>
      <c r="J28" s="234"/>
      <c r="K28" s="234"/>
      <c r="L28" s="234"/>
      <c r="M28" s="234"/>
      <c r="N28" s="234"/>
      <c r="O28" s="234"/>
      <c r="P28" s="234"/>
      <c r="Q28" s="234"/>
      <c r="R28" s="234"/>
      <c r="S28" s="234"/>
      <c r="T28" s="234"/>
      <c r="U28" s="234"/>
      <c r="V28" s="234"/>
      <c r="W28" s="234"/>
      <c r="X28" s="234"/>
      <c r="Y28" s="234"/>
      <c r="Z28" s="234"/>
      <c r="AA28" s="234"/>
      <c r="AB28" s="234"/>
      <c r="AC28" s="234"/>
      <c r="AD28" s="234"/>
      <c r="AE28" s="234"/>
      <c r="AF28" s="235"/>
    </row>
    <row r="29" spans="1:32" s="219" customFormat="1" ht="9" customHeight="1" x14ac:dyDescent="0.3">
      <c r="A29" s="216"/>
      <c r="B29" s="217"/>
      <c r="C29" s="217"/>
      <c r="D29" s="217" t="s">
        <v>743</v>
      </c>
      <c r="E29" s="217"/>
      <c r="F29" s="217"/>
      <c r="G29" s="217"/>
      <c r="H29" s="217"/>
      <c r="I29" s="217"/>
      <c r="J29" s="217"/>
      <c r="K29" s="217"/>
      <c r="L29" s="217"/>
      <c r="M29" s="217"/>
      <c r="N29" s="217"/>
      <c r="O29" s="217" t="s">
        <v>744</v>
      </c>
      <c r="P29" s="217"/>
      <c r="Q29" s="217"/>
      <c r="R29" s="217"/>
      <c r="S29" s="217"/>
      <c r="T29" s="217"/>
      <c r="U29" s="217"/>
      <c r="V29" s="217"/>
      <c r="W29" s="217"/>
      <c r="X29" s="217"/>
      <c r="Y29" s="217"/>
      <c r="Z29" s="217"/>
      <c r="AA29" s="217"/>
      <c r="AB29" s="217"/>
      <c r="AC29" s="217"/>
      <c r="AD29" s="217"/>
      <c r="AE29" s="217"/>
      <c r="AF29" s="218"/>
    </row>
    <row r="30" spans="1:32" s="223" customFormat="1" ht="9.9" customHeight="1" x14ac:dyDescent="0.3">
      <c r="A30" s="220"/>
      <c r="B30" s="221"/>
      <c r="C30" s="221"/>
      <c r="D30" s="221" t="s">
        <v>843</v>
      </c>
      <c r="E30" s="221"/>
      <c r="F30" s="221"/>
      <c r="G30" s="221"/>
      <c r="H30" s="221"/>
      <c r="I30" s="221"/>
      <c r="J30" s="221"/>
      <c r="K30" s="221"/>
      <c r="L30" s="221"/>
      <c r="M30" s="221"/>
      <c r="N30" s="221"/>
      <c r="O30" s="221" t="s">
        <v>745</v>
      </c>
      <c r="P30" s="221"/>
      <c r="Q30" s="221"/>
      <c r="R30" s="221"/>
      <c r="S30" s="221"/>
      <c r="T30" s="221"/>
      <c r="U30" s="221"/>
      <c r="V30" s="221"/>
      <c r="W30" s="221"/>
      <c r="X30" s="221"/>
      <c r="Y30" s="221"/>
      <c r="Z30" s="221"/>
      <c r="AA30" s="221"/>
      <c r="AB30" s="221"/>
      <c r="AC30" s="221"/>
      <c r="AD30" s="221"/>
      <c r="AE30" s="221"/>
      <c r="AF30" s="222"/>
    </row>
    <row r="31" spans="1:32" s="223" customFormat="1" ht="2.1" customHeight="1" x14ac:dyDescent="0.3">
      <c r="A31" s="220"/>
      <c r="B31" s="221"/>
      <c r="C31" s="221"/>
      <c r="D31" s="221"/>
      <c r="E31" s="221"/>
      <c r="F31" s="221"/>
      <c r="G31" s="221"/>
      <c r="H31" s="221"/>
      <c r="I31" s="221"/>
      <c r="J31" s="221"/>
      <c r="K31" s="221"/>
      <c r="L31" s="221"/>
      <c r="M31" s="221"/>
      <c r="N31" s="221"/>
      <c r="O31" s="221"/>
      <c r="P31" s="221"/>
      <c r="Q31" s="221"/>
      <c r="R31" s="221"/>
      <c r="S31" s="221"/>
      <c r="T31" s="221"/>
      <c r="U31" s="221"/>
      <c r="V31" s="221"/>
      <c r="W31" s="221"/>
      <c r="X31" s="221"/>
      <c r="Y31" s="221"/>
      <c r="Z31" s="221"/>
      <c r="AA31" s="221"/>
      <c r="AB31" s="221"/>
      <c r="AC31" s="221"/>
      <c r="AD31" s="221"/>
      <c r="AE31" s="221"/>
      <c r="AF31" s="222"/>
    </row>
    <row r="32" spans="1:32" ht="15" customHeight="1" x14ac:dyDescent="0.3">
      <c r="A32" s="233"/>
      <c r="B32" s="234"/>
      <c r="C32" s="245" t="s">
        <v>825</v>
      </c>
      <c r="D32" s="227" t="s">
        <v>824</v>
      </c>
      <c r="E32" s="228" t="s">
        <v>827</v>
      </c>
      <c r="F32" s="228" t="str">
        <f>IF(P2002JF!H8=P2002JF!AY23,P2002JF!BB23,IF(P2002JF!H8=P2002JF!AY24,P2002JF!BB24,IF(P2002JF!H8=P2002JF!AY25,P2002JF!BB25,IF(P2002JF!H8=P2002JF!AY26,P2002JF!BB26,IF(P2002JF!H8=P2002JF!AY27,P2002JF!BB27,IF(P2002JF!H8=P2002JF!AY28,P2002JF!BB28,IF(P2002JF!H8=P2002JF!AY28,P2002JF!BB28,IF(P2002JF!H8=P2002JF!AY29,P2002JF!BB29,IF(P2002JF!H8=P2002JF!AY30,P2002JF!BB30,IF(P2002JF!H8=P2002JF!AY32,P2002JF!BB32,IF(P2002JF!H8=P2002JF!AY33,P2002JF!BB33,IF(P2002JF!H8=P2002JF!AY34,P2002JF!BB34,IF(P2002JF!H8=P2002JF!AY34,P2002JF!BB34,IF(P2002JF!H8=P2002JF!AY35,P2002JF!BB35,IF(P2002JF!H8=P2002JF!AY36,P2002JF!BB36,IF(P2002JF!H8=P2002JF!AY37,P2002JF!BB37,IF(P2002JF!H8=P2002JF!AY38,P2002JF!BB38,IF(P2002JF!H8=P2002JF!AY39,P2002JF!BB39,IF(P2002JF!H8=P2002JF!AY40,P2002JF!BB40,IF(P2002JF!H8=P2002JF!AY41,P2002JF!BB41,IF(P2002JF!H8=P2002JF!AY42,P2002JF!BB42,IF(P2002JF!H8=P2002JF!AY43,P2002JF!BB43,IF(P2002JF!H8=P2002JF!AY44,P2002JF!BB44,IF(P2002JF!H8=P2002JF!AY45,P2002JF!BB45,IF(P2002JF!H8=P2002JF!AY46,P2002JF!BB46,IF(P2002JF!H8=P2002JF!AY47,P2002JF!BB47,IF(P2002JF!H8=P2002JF!AY48,P2002JF!BB48,IF(P2002JF!H8=P2002JF!AY49,P2002JF!BB49,IF(P2002JF!H8=P2002JF!AY50,P2002JF!BB50,IF(P2002JF!H8=P2002JF!AY51,P2002JF!BB51,IF(P2002JF!H8=P2002JF!AY52,P2002JF!BB52,IF(P2002JF!H8=P2002JF!AY53,P2002JF!BB53,IF(P2002JF!H8=P2002JF!AY54,P2002JF!BB54,IF(P2002JF!H8=P2002JF!AY55,P2002JF!BB55,"?"))))))))))))))))))))))))))))))))))</f>
        <v>?</v>
      </c>
      <c r="G32" s="229" t="str">
        <f>IF(P2002JF!H8=P2002JF!AY23,P2002JF!BC23,IF(P2002JF!H8=P2002JF!AY24,P2002JF!BC24,IF(P2002JF!H8=P2002JF!AY25,P2002JF!BC25,IF(P2002JF!H8=P2002JF!AY26,P2002JF!BC26,IF(P2002JF!H8=P2002JF!AY27,P2002JF!BC27,IF(P2002JF!H8=P2002JF!AY28,P2002JF!BC28,IF(P2002JF!H8=P2002JF!AY28,P2002JF!BC28,IF(P2002JF!H8=P2002JF!AY29,P2002JF!BC29,IF(P2002JF!H8=P2002JF!AY30,P2002JF!BC30,IF(P2002JF!H8=P2002JF!AY32,P2002JF!BC32,IF(P2002JF!H8=P2002JF!AY33,P2002JF!BC33,IF(P2002JF!H8=P2002JF!AY34,P2002JF!BC34,IF(P2002JF!H8=P2002JF!AY34,P2002JF!BC34,IF(P2002JF!H8=P2002JF!AY35,P2002JF!BC35,IF(P2002JF!H8=P2002JF!AY36,P2002JF!BC36,IF(P2002JF!H8=P2002JF!AY37,P2002JF!BC37,IF(P2002JF!H8=P2002JF!AY38,P2002JF!BC38,IF(P2002JF!H8=P2002JF!AY39,P2002JF!BC39,IF(P2002JF!H8=P2002JF!AY40,P2002JF!BC40,IF(P2002JF!H8=P2002JF!AY41,P2002JF!BC41,IF(P2002JF!H8=P2002JF!AY42,P2002JF!BC42,IF(P2002JF!H8=P2002JF!AY43,P2002JF!BC43,IF(P2002JF!H8=P2002JF!AY44,P2002JF!BC44,IF(P2002JF!H8=P2002JF!AY45,P2002JF!BC45,IF(P2002JF!H8=P2002JF!AY46,P2002JF!BC46,IF(P2002JF!H8=P2002JF!AY47,P2002JF!BC47,IF(P2002JF!H8=P2002JF!AY48,P2002JF!BC48,IF(P2002JF!H8=P2002JF!AY49,P2002JF!BC49,IF(P2002JF!H8=P2002JF!AY50,P2002JF!BC50,IF(P2002JF!H8=P2002JF!AY51,P2002JF!BC51,IF(P2002JF!H8=P2002JF!AY52,P2002JF!BC52,IF(P2002JF!H8=P2002JF!AY53,P2002JF!BC53,IF(P2002JF!H8=P2002JF!AY54,P2002JF!BC54,IF(P2002JF!H8=P2002JF!AY55,P2002JF!BC55,"?"))))))))))))))))))))))))))))))))))</f>
        <v>?</v>
      </c>
      <c r="H32" s="246"/>
      <c r="I32" s="234"/>
      <c r="J32" s="234"/>
      <c r="K32" s="234"/>
      <c r="L32" s="234"/>
      <c r="M32" s="234"/>
      <c r="N32" s="284">
        <v>1</v>
      </c>
      <c r="O32" s="285">
        <v>9</v>
      </c>
      <c r="P32" s="285">
        <v>3</v>
      </c>
      <c r="Q32" s="286">
        <v>0</v>
      </c>
      <c r="R32" s="514" t="s">
        <v>821</v>
      </c>
      <c r="S32" s="515"/>
      <c r="T32" s="515"/>
      <c r="U32" s="234"/>
      <c r="V32" s="234"/>
      <c r="W32" s="234"/>
      <c r="X32" s="234"/>
      <c r="Y32" s="234"/>
      <c r="Z32" s="234"/>
      <c r="AA32" s="234"/>
      <c r="AB32" s="234"/>
      <c r="AC32" s="234"/>
      <c r="AD32" s="234"/>
      <c r="AE32" s="234"/>
      <c r="AF32" s="235"/>
    </row>
    <row r="33" spans="1:32" ht="5.0999999999999996" customHeight="1" x14ac:dyDescent="0.3">
      <c r="A33" s="233"/>
      <c r="B33" s="234"/>
      <c r="C33" s="247"/>
      <c r="D33" s="247"/>
      <c r="E33" s="247"/>
      <c r="F33" s="247"/>
      <c r="G33" s="247"/>
      <c r="H33" s="247"/>
      <c r="I33" s="234"/>
      <c r="J33" s="234"/>
      <c r="K33" s="234"/>
      <c r="L33" s="234"/>
      <c r="M33" s="234"/>
      <c r="N33" s="234"/>
      <c r="O33" s="234"/>
      <c r="P33" s="234"/>
      <c r="Q33" s="234"/>
      <c r="R33" s="234"/>
      <c r="S33" s="234"/>
      <c r="T33" s="234"/>
      <c r="U33" s="234"/>
      <c r="V33" s="234"/>
      <c r="W33" s="234"/>
      <c r="X33" s="234"/>
      <c r="Y33" s="234"/>
      <c r="Z33" s="234"/>
      <c r="AA33" s="234"/>
      <c r="AB33" s="234"/>
      <c r="AC33" s="234"/>
      <c r="AD33" s="234"/>
      <c r="AE33" s="234"/>
      <c r="AF33" s="235"/>
    </row>
    <row r="34" spans="1:32" s="219" customFormat="1" ht="9" customHeight="1" x14ac:dyDescent="0.3">
      <c r="A34" s="216"/>
      <c r="B34" s="526" t="s">
        <v>746</v>
      </c>
      <c r="C34" s="526"/>
      <c r="D34" s="526"/>
      <c r="E34" s="526"/>
      <c r="F34" s="526"/>
      <c r="G34" s="526"/>
      <c r="H34" s="526"/>
      <c r="I34" s="526"/>
      <c r="J34" s="217"/>
      <c r="K34" s="217" t="s">
        <v>747</v>
      </c>
      <c r="L34" s="217"/>
      <c r="M34" s="217"/>
      <c r="N34" s="217"/>
      <c r="O34" s="217" t="s">
        <v>144</v>
      </c>
      <c r="P34" s="217"/>
      <c r="Q34" s="217"/>
      <c r="R34" s="217"/>
      <c r="S34" s="217"/>
      <c r="T34" s="217"/>
      <c r="U34" s="217"/>
      <c r="V34" s="217"/>
      <c r="W34" s="217"/>
      <c r="X34" s="217"/>
      <c r="Y34" s="217"/>
      <c r="Z34" s="217"/>
      <c r="AA34" s="217"/>
      <c r="AB34" s="217"/>
      <c r="AC34" s="217"/>
      <c r="AD34" s="217"/>
      <c r="AE34" s="217"/>
      <c r="AF34" s="218"/>
    </row>
    <row r="35" spans="1:32" s="223" customFormat="1" ht="9.9" customHeight="1" x14ac:dyDescent="0.3">
      <c r="A35" s="220"/>
      <c r="B35" s="517" t="s">
        <v>842</v>
      </c>
      <c r="C35" s="517"/>
      <c r="D35" s="517"/>
      <c r="E35" s="517"/>
      <c r="F35" s="517"/>
      <c r="G35" s="517"/>
      <c r="H35" s="517"/>
      <c r="I35" s="221"/>
      <c r="J35" s="221"/>
      <c r="K35" s="221" t="s">
        <v>748</v>
      </c>
      <c r="L35" s="221"/>
      <c r="M35" s="221"/>
      <c r="N35" s="221"/>
      <c r="O35" s="221" t="s">
        <v>841</v>
      </c>
      <c r="P35" s="221"/>
      <c r="Q35" s="221"/>
      <c r="R35" s="221"/>
      <c r="S35" s="221"/>
      <c r="T35" s="221"/>
      <c r="U35" s="221"/>
      <c r="V35" s="221"/>
      <c r="W35" s="221"/>
      <c r="X35" s="221"/>
      <c r="Y35" s="221"/>
      <c r="Z35" s="221"/>
      <c r="AA35" s="221"/>
      <c r="AB35" s="221"/>
      <c r="AC35" s="221"/>
      <c r="AD35" s="221"/>
      <c r="AE35" s="221"/>
      <c r="AF35" s="222"/>
    </row>
    <row r="36" spans="1:32" s="223" customFormat="1" ht="2.1" customHeight="1" x14ac:dyDescent="0.3">
      <c r="A36" s="220"/>
      <c r="B36" s="221"/>
      <c r="C36" s="221"/>
      <c r="D36" s="221"/>
      <c r="E36" s="221"/>
      <c r="F36" s="221"/>
      <c r="G36" s="221"/>
      <c r="H36" s="221"/>
      <c r="I36" s="221"/>
      <c r="J36" s="221"/>
      <c r="K36" s="221"/>
      <c r="L36" s="221"/>
      <c r="M36" s="221"/>
      <c r="N36" s="221"/>
      <c r="O36" s="221"/>
      <c r="P36" s="221"/>
      <c r="Q36" s="221"/>
      <c r="R36" s="221"/>
      <c r="S36" s="221"/>
      <c r="T36" s="221"/>
      <c r="U36" s="221"/>
      <c r="V36" s="221"/>
      <c r="W36" s="221"/>
      <c r="X36" s="221"/>
      <c r="Y36" s="221"/>
      <c r="Z36" s="221"/>
      <c r="AA36" s="221"/>
      <c r="AB36" s="221"/>
      <c r="AC36" s="221"/>
      <c r="AD36" s="221"/>
      <c r="AE36" s="221"/>
      <c r="AF36" s="222"/>
    </row>
    <row r="37" spans="1:32" ht="15.9" customHeight="1" x14ac:dyDescent="0.3">
      <c r="A37" s="233"/>
      <c r="B37" s="226" t="s">
        <v>825</v>
      </c>
      <c r="C37" s="227"/>
      <c r="D37" s="228" t="s">
        <v>820</v>
      </c>
      <c r="E37" s="228">
        <v>0</v>
      </c>
      <c r="F37" s="228">
        <v>9</v>
      </c>
      <c r="G37" s="229">
        <v>0</v>
      </c>
      <c r="H37" s="234"/>
      <c r="I37" s="227"/>
      <c r="J37" s="228" t="s">
        <v>413</v>
      </c>
      <c r="K37" s="285"/>
      <c r="L37" s="285"/>
      <c r="M37" s="229">
        <v>5</v>
      </c>
      <c r="N37" s="234"/>
      <c r="O37" s="564"/>
      <c r="P37" s="564"/>
      <c r="Q37" s="564"/>
      <c r="R37" s="564"/>
      <c r="S37" s="564"/>
      <c r="T37" s="564"/>
      <c r="U37" s="564"/>
      <c r="V37" s="564"/>
      <c r="W37" s="564"/>
      <c r="X37" s="564"/>
      <c r="Y37" s="564"/>
      <c r="Z37" s="564"/>
      <c r="AA37" s="564"/>
      <c r="AB37" s="564"/>
      <c r="AC37" s="564"/>
      <c r="AD37" s="564"/>
      <c r="AE37" s="564"/>
      <c r="AF37" s="564"/>
    </row>
    <row r="38" spans="1:32" ht="15.9" customHeight="1" x14ac:dyDescent="0.3">
      <c r="A38" s="563"/>
      <c r="B38" s="563"/>
      <c r="C38" s="563"/>
      <c r="D38" s="563"/>
      <c r="E38" s="563"/>
      <c r="F38" s="563"/>
      <c r="G38" s="563"/>
      <c r="H38" s="563"/>
      <c r="I38" s="563"/>
      <c r="J38" s="563"/>
      <c r="K38" s="563"/>
      <c r="L38" s="563"/>
      <c r="M38" s="563"/>
      <c r="N38" s="563"/>
      <c r="O38" s="563"/>
      <c r="P38" s="563"/>
      <c r="Q38" s="563"/>
      <c r="R38" s="563"/>
      <c r="S38" s="563"/>
      <c r="T38" s="563"/>
      <c r="U38" s="563"/>
      <c r="V38" s="563"/>
      <c r="W38" s="563"/>
      <c r="X38" s="563"/>
      <c r="Y38" s="563"/>
      <c r="Z38" s="563"/>
      <c r="AA38" s="563"/>
      <c r="AB38" s="563"/>
      <c r="AC38" s="563"/>
      <c r="AD38" s="563"/>
      <c r="AE38" s="563"/>
      <c r="AF38" s="563"/>
    </row>
    <row r="39" spans="1:32" ht="15.9" customHeight="1" x14ac:dyDescent="0.3">
      <c r="A39" s="563"/>
      <c r="B39" s="563"/>
      <c r="C39" s="563"/>
      <c r="D39" s="563"/>
      <c r="E39" s="563"/>
      <c r="F39" s="563"/>
      <c r="G39" s="563"/>
      <c r="H39" s="563"/>
      <c r="I39" s="563"/>
      <c r="J39" s="563"/>
      <c r="K39" s="563"/>
      <c r="L39" s="563"/>
      <c r="M39" s="563"/>
      <c r="N39" s="563"/>
      <c r="O39" s="563"/>
      <c r="P39" s="563"/>
      <c r="Q39" s="563"/>
      <c r="R39" s="563"/>
      <c r="S39" s="563"/>
      <c r="T39" s="563"/>
      <c r="U39" s="563"/>
      <c r="V39" s="563"/>
      <c r="W39" s="563"/>
      <c r="X39" s="563"/>
      <c r="Y39" s="563"/>
      <c r="Z39" s="563"/>
      <c r="AA39" s="563"/>
      <c r="AB39" s="563"/>
      <c r="AC39" s="563"/>
      <c r="AD39" s="563"/>
      <c r="AE39" s="563"/>
      <c r="AF39" s="563"/>
    </row>
    <row r="40" spans="1:32" ht="15.9" customHeight="1" x14ac:dyDescent="0.3">
      <c r="A40" s="563"/>
      <c r="B40" s="563"/>
      <c r="C40" s="563"/>
      <c r="D40" s="563"/>
      <c r="E40" s="563"/>
      <c r="F40" s="563"/>
      <c r="G40" s="563"/>
      <c r="H40" s="563"/>
      <c r="I40" s="563"/>
      <c r="J40" s="563"/>
      <c r="K40" s="563"/>
      <c r="L40" s="563"/>
      <c r="M40" s="563"/>
      <c r="N40" s="563"/>
      <c r="O40" s="563"/>
      <c r="P40" s="563"/>
      <c r="Q40" s="563"/>
      <c r="R40" s="563"/>
      <c r="S40" s="563"/>
      <c r="T40" s="563"/>
      <c r="U40" s="563"/>
      <c r="V40" s="563"/>
      <c r="W40" s="563"/>
      <c r="X40" s="563"/>
      <c r="Y40" s="563"/>
      <c r="Z40" s="563"/>
      <c r="AA40" s="563"/>
      <c r="AB40" s="563"/>
      <c r="AC40" s="563"/>
      <c r="AD40" s="563"/>
      <c r="AE40" s="563"/>
      <c r="AF40" s="563"/>
    </row>
    <row r="41" spans="1:32" ht="15.9" customHeight="1" x14ac:dyDescent="0.3">
      <c r="A41" s="563"/>
      <c r="B41" s="563"/>
      <c r="C41" s="563"/>
      <c r="D41" s="563"/>
      <c r="E41" s="563"/>
      <c r="F41" s="563"/>
      <c r="G41" s="563"/>
      <c r="H41" s="563"/>
      <c r="I41" s="563"/>
      <c r="J41" s="563"/>
      <c r="K41" s="563"/>
      <c r="L41" s="563"/>
      <c r="M41" s="563"/>
      <c r="N41" s="563"/>
      <c r="O41" s="563"/>
      <c r="P41" s="563"/>
      <c r="Q41" s="563"/>
      <c r="R41" s="563"/>
      <c r="S41" s="563"/>
      <c r="T41" s="563"/>
      <c r="U41" s="563"/>
      <c r="V41" s="563"/>
      <c r="W41" s="563"/>
      <c r="X41" s="563"/>
      <c r="Y41" s="563"/>
      <c r="Z41" s="563"/>
      <c r="AA41" s="563"/>
      <c r="AB41" s="563"/>
      <c r="AC41" s="563"/>
      <c r="AD41" s="514" t="s">
        <v>821</v>
      </c>
      <c r="AE41" s="515"/>
      <c r="AF41" s="516"/>
    </row>
    <row r="42" spans="1:32" ht="5.0999999999999996" customHeight="1" x14ac:dyDescent="0.3">
      <c r="A42" s="233"/>
      <c r="B42" s="234"/>
      <c r="C42" s="234"/>
      <c r="D42" s="234"/>
      <c r="E42" s="234"/>
      <c r="F42" s="234"/>
      <c r="G42" s="234"/>
      <c r="H42" s="234"/>
      <c r="I42" s="234"/>
      <c r="J42" s="234"/>
      <c r="K42" s="234"/>
      <c r="L42" s="234"/>
      <c r="M42" s="234"/>
      <c r="N42" s="234"/>
      <c r="O42" s="234"/>
      <c r="P42" s="234"/>
      <c r="Q42" s="234"/>
      <c r="R42" s="234"/>
      <c r="S42" s="234"/>
      <c r="T42" s="234"/>
      <c r="U42" s="234"/>
      <c r="V42" s="234"/>
      <c r="W42" s="234"/>
      <c r="X42" s="234"/>
      <c r="Y42" s="234"/>
      <c r="Z42" s="234"/>
      <c r="AA42" s="234"/>
      <c r="AB42" s="234"/>
      <c r="AC42" s="234"/>
      <c r="AD42" s="234"/>
      <c r="AE42" s="234"/>
      <c r="AF42" s="235"/>
    </row>
    <row r="43" spans="1:32" s="219" customFormat="1" ht="9" customHeight="1" x14ac:dyDescent="0.3">
      <c r="A43" s="216"/>
      <c r="B43" s="217"/>
      <c r="C43" s="217" t="s">
        <v>749</v>
      </c>
      <c r="D43" s="217"/>
      <c r="E43" s="217"/>
      <c r="F43" s="217"/>
      <c r="G43" s="217"/>
      <c r="H43" s="217"/>
      <c r="I43" s="217"/>
      <c r="J43" s="217"/>
      <c r="K43" s="526" t="s">
        <v>800</v>
      </c>
      <c r="L43" s="526"/>
      <c r="M43" s="526"/>
      <c r="N43" s="526"/>
      <c r="O43" s="217"/>
      <c r="P43" s="217"/>
      <c r="Q43" s="217"/>
      <c r="R43" s="217"/>
      <c r="S43" s="217" t="s">
        <v>802</v>
      </c>
      <c r="T43" s="217"/>
      <c r="U43" s="217"/>
      <c r="V43" s="217"/>
      <c r="W43" s="217"/>
      <c r="X43" s="217"/>
      <c r="Y43" s="217"/>
      <c r="Z43" s="217" t="s">
        <v>804</v>
      </c>
      <c r="AA43" s="217"/>
      <c r="AB43" s="217"/>
      <c r="AC43" s="217"/>
      <c r="AD43" s="217"/>
      <c r="AE43" s="217"/>
      <c r="AF43" s="218"/>
    </row>
    <row r="44" spans="1:32" s="223" customFormat="1" ht="9" customHeight="1" x14ac:dyDescent="0.3">
      <c r="A44" s="220"/>
      <c r="B44" s="221"/>
      <c r="C44" s="221"/>
      <c r="D44" s="221" t="s">
        <v>750</v>
      </c>
      <c r="E44" s="221"/>
      <c r="F44" s="221"/>
      <c r="G44" s="221"/>
      <c r="H44" s="221"/>
      <c r="I44" s="221"/>
      <c r="J44" s="221"/>
      <c r="K44" s="517" t="s">
        <v>801</v>
      </c>
      <c r="L44" s="517"/>
      <c r="M44" s="517"/>
      <c r="N44" s="517"/>
      <c r="O44" s="221"/>
      <c r="P44" s="221"/>
      <c r="Q44" s="221"/>
      <c r="R44" s="221"/>
      <c r="S44" s="221" t="s">
        <v>803</v>
      </c>
      <c r="T44" s="221"/>
      <c r="U44" s="221"/>
      <c r="V44" s="221"/>
      <c r="W44" s="221"/>
      <c r="X44" s="221"/>
      <c r="Y44" s="221"/>
      <c r="Z44" s="221" t="s">
        <v>805</v>
      </c>
      <c r="AA44" s="221"/>
      <c r="AB44" s="221"/>
      <c r="AC44" s="221"/>
      <c r="AD44" s="221"/>
      <c r="AE44" s="221"/>
      <c r="AF44" s="222"/>
    </row>
    <row r="45" spans="1:32" s="223" customFormat="1" ht="8.1" customHeight="1" x14ac:dyDescent="0.3">
      <c r="A45" s="220"/>
      <c r="B45" s="221"/>
      <c r="C45" s="221"/>
      <c r="D45" s="221"/>
      <c r="E45" s="221"/>
      <c r="F45" s="221"/>
      <c r="G45" s="221"/>
      <c r="H45" s="221"/>
      <c r="I45" s="221"/>
      <c r="J45" s="221"/>
      <c r="K45" s="221"/>
      <c r="L45" s="221" t="s">
        <v>751</v>
      </c>
      <c r="M45" s="221"/>
      <c r="N45" s="221" t="s">
        <v>752</v>
      </c>
      <c r="O45" s="221"/>
      <c r="P45" s="221"/>
      <c r="Q45" s="221"/>
      <c r="R45" s="221"/>
      <c r="S45" s="221"/>
      <c r="T45" s="221"/>
      <c r="U45" s="221"/>
      <c r="V45" s="221"/>
      <c r="W45" s="221"/>
      <c r="X45" s="221"/>
      <c r="Y45" s="221"/>
      <c r="Z45" s="221"/>
      <c r="AA45" s="221"/>
      <c r="AB45" s="221"/>
      <c r="AC45" s="221"/>
      <c r="AD45" s="221"/>
      <c r="AE45" s="221"/>
      <c r="AF45" s="222"/>
    </row>
    <row r="46" spans="1:32" s="223" customFormat="1" ht="2.1" customHeight="1" x14ac:dyDescent="0.3">
      <c r="A46" s="220"/>
      <c r="B46" s="221"/>
      <c r="C46" s="221"/>
      <c r="D46" s="221"/>
      <c r="E46" s="221"/>
      <c r="F46" s="221"/>
      <c r="G46" s="221"/>
      <c r="H46" s="221"/>
      <c r="I46" s="221"/>
      <c r="J46" s="221"/>
      <c r="K46" s="221"/>
      <c r="L46" s="221"/>
      <c r="M46" s="221"/>
      <c r="N46" s="221"/>
      <c r="O46" s="221"/>
      <c r="P46" s="221"/>
      <c r="Q46" s="221"/>
      <c r="R46" s="221"/>
      <c r="S46" s="221"/>
      <c r="T46" s="221"/>
      <c r="U46" s="221"/>
      <c r="V46" s="221"/>
      <c r="W46" s="221"/>
      <c r="X46" s="221"/>
      <c r="Y46" s="221"/>
      <c r="Z46" s="221"/>
      <c r="AA46" s="221"/>
      <c r="AB46" s="221"/>
      <c r="AC46" s="221"/>
      <c r="AD46" s="221"/>
      <c r="AE46" s="221"/>
      <c r="AF46" s="222"/>
    </row>
    <row r="47" spans="1:32" ht="15" customHeight="1" x14ac:dyDescent="0.3">
      <c r="A47" s="233"/>
      <c r="B47" s="234"/>
      <c r="C47" s="245" t="s">
        <v>825</v>
      </c>
      <c r="D47" s="227" t="s">
        <v>824</v>
      </c>
      <c r="E47" s="228" t="s">
        <v>827</v>
      </c>
      <c r="F47" s="228" t="str">
        <f>IF(P2002JF!H9=P2002JF!AY23,P2002JF!BB23,IF(P2002JF!H9=P2002JF!AY24,P2002JF!BB24,IF(P2002JF!H9=P2002JF!AY25,P2002JF!BB25,IF(P2002JF!H9=P2002JF!AY26,P2002JF!BB26,IF(P2002JF!H9=P2002JF!AY27,P2002JF!BB27,IF(P2002JF!H9=P2002JF!AY28,P2002JF!BB28,IF(P2002JF!H9=P2002JF!AY28,P2002JF!BB28,IF(P2002JF!H9=P2002JF!AY29,P2002JF!BB29,IF(P2002JF!H9=P2002JF!AY30,P2002JF!BB30,IF(P2002JF!H9=P2002JF!AY32,P2002JF!BB32,IF(P2002JF!H9=P2002JF!AY33,P2002JF!BB33,IF(P2002JF!H9=P2002JF!AY34,P2002JF!BB34,IF(P2002JF!H9=P2002JF!AY34,P2002JF!BB34,IF(P2002JF!H9=P2002JF!AY35,P2002JF!BB35,IF(P2002JF!H9=P2002JF!AY36,P2002JF!BB36,IF(P2002JF!H9=P2002JF!AY37,P2002JF!BB37,IF(P2002JF!H9=P2002JF!AY38,P2002JF!BB38,IF(P2002JF!H9=P2002JF!AY39,P2002JF!BB39,IF(P2002JF!H9=P2002JF!AY40,P2002JF!BB40,IF(P2002JF!H9=P2002JF!AY41,P2002JF!BB41,IF(P2002JF!H9=P2002JF!AY42,P2002JF!BB42,IF(P2002JF!H9=P2002JF!AY43,P2002JF!BB43,IF(P2002JF!H9=P2002JF!AY44,P2002JF!BB44,IF(P2002JF!H9=P2002JF!AY45,P2002JF!BB45,IF(P2002JF!H9=P2002JF!AY46,P2002JF!BB46,IF(P2002JF!H9=P2002JF!AY47,P2002JF!BB47,IF(P2002JF!H9=P2002JF!AY48,P2002JF!BB48,IF(P2002JF!H9=P2002JF!AY49,P2002JF!BB49,IF(P2002JF!H9=P2002JF!AY50,P2002JF!BB50,IF(P2002JF!H9=P2002JF!AY51,P2002JF!BB51,IF(P2002JF!H9=P2002JF!AY52,P2002JF!BB52,IF(P2002JF!H9=P2002JF!AY53,P2002JF!BB53,IF(P2002JF!H9=P2002JF!AY54,P2002JF!BB54,IF(P2002JF!H9=P2002JF!AY55,P2002JF!BB55,"?"))))))))))))))))))))))))))))))))))</f>
        <v>?</v>
      </c>
      <c r="G47" s="229" t="str">
        <f>IF(P2002JF!H9=P2002JF!AY23,P2002JF!BC23,IF(P2002JF!H9=P2002JF!AY24,P2002JF!BC24,IF(P2002JF!H9=P2002JF!AY25,P2002JF!BC25,IF(P2002JF!H9=P2002JF!AY26,P2002JF!BC26,IF(P2002JF!H9=P2002JF!AY27,P2002JF!BC27,IF(P2002JF!H9=P2002JF!AY28,P2002JF!BC28,IF(P2002JF!H9=P2002JF!AY28,P2002JF!BC28,IF(P2002JF!H9=P2002JF!AY29,P2002JF!BC29,IF(P2002JF!H9=P2002JF!AY30,P2002JF!BC30,IF(P2002JF!H9=P2002JF!AY32,P2002JF!BC32,IF(P2002JF!H9=P2002JF!AY33,P2002JF!BC33,IF(P2002JF!H9=P2002JF!AY34,P2002JF!BC34,IF(P2002JF!H9=P2002JF!AY34,P2002JF!BC34,IF(P2002JF!H9=P2002JF!AY35,P2002JF!BC35,IF(P2002JF!H9=P2002JF!AY36,P2002JF!BC36,IF(P2002JF!H9=P2002JF!AY37,P2002JF!BC37,IF(P2002JF!H9=P2002JF!AY38,P2002JF!BC38,IF(P2002JF!H9=P2002JF!AY39,P2002JF!BC39,IF(P2002JF!H9=P2002JF!AY40,P2002JF!BC40,IF(P2002JF!H9=P2002JF!AY41,P2002JF!BC41,IF(P2002JF!H9=P2002JF!AY42,P2002JF!BC42,IF(P2002JF!H9=P2002JF!AY43,P2002JF!BC43,IF(P2002JF!H9=P2002JF!AY44,P2002JF!BC44,IF(P2002JF!H9=P2002JF!AY45,P2002JF!BC45,IF(P2002JF!H9=P2002JF!AY46,P2002JF!BC46,IF(P2002JF!H9=P2002JF!AY47,P2002JF!BC47,IF(P2002JF!H9=P2002JF!AY48,P2002JF!BC48,IF(P2002JF!H9=P2002JF!AY49,P2002JF!BC49,IF(P2002JF!H9=P2002JF!AY50,P2002JF!BC50,IF(P2002JF!H9=P2002JF!AY51,P2002JF!BC51,IF(P2002JF!H9=P2002JF!AY52,P2002JF!BC52,IF(P2002JF!H9=P2002JF!AY53,P2002JF!BC53,IF(P2002JF!H9=P2002JF!AY54,P2002JF!BC54,IF(P2002JF!H9=P2002JF!AY55,P2002JF!BC55,"?"))))))))))))))))))))))))))))))))))</f>
        <v>?</v>
      </c>
      <c r="H47" s="234"/>
      <c r="I47" s="234"/>
      <c r="J47" s="234"/>
      <c r="K47" s="227"/>
      <c r="L47" s="285"/>
      <c r="M47" s="285"/>
      <c r="N47" s="286"/>
      <c r="O47" s="234"/>
      <c r="P47" s="234"/>
      <c r="Q47" s="234"/>
      <c r="R47" s="243"/>
      <c r="S47" s="227" t="s">
        <v>824</v>
      </c>
      <c r="T47" s="228" t="s">
        <v>827</v>
      </c>
      <c r="U47" s="228" t="str">
        <f>IF(P2002JF!L8=P2002JF!AY23,P2002JF!BB23,IF(P2002JF!L8=P2002JF!AY24,P2002JF!BB24,IF(P2002JF!L8=P2002JF!AY25,P2002JF!BB25,IF(P2002JF!L8=P2002JF!AY26,P2002JF!BB26,IF(P2002JF!L8=P2002JF!AY27,P2002JF!BB27,IF(P2002JF!L8=P2002JF!AY28,P2002JF!BB28,IF(P2002JF!L8=P2002JF!AY28,P2002JF!BB28,IF(P2002JF!L8=P2002JF!AY29,P2002JF!BB29,IF(P2002JF!L8=P2002JF!AY30,P2002JF!BB30,IF(P2002JF!L8=P2002JF!AY32,P2002JF!BB32,IF(P2002JF!L8=P2002JF!AY33,P2002JF!BB33,IF(P2002JF!L8=P2002JF!AY34,P2002JF!BB34,IF(P2002JF!L8=P2002JF!AY34,P2002JF!BB34,IF(P2002JF!L8=P2002JF!AY35,P2002JF!BB35,IF(P2002JF!L8=P2002JF!AY36,P2002JF!BB36,IF(P2002JF!L8=P2002JF!AY37,P2002JF!BB37,IF(P2002JF!L8=P2002JF!AY38,P2002JF!BB38,IF(P2002JF!L8=P2002JF!AY39,P2002JF!BB39,IF(P2002JF!L8=P2002JF!AY40,P2002JF!BB40,IF(P2002JF!L8=P2002JF!AY41,P2002JF!BB41,IF(P2002JF!L8=P2002JF!AY42,P2002JF!BB42,IF(P2002JF!L8=P2002JF!AY43,P2002JF!BB43,IF(P2002JF!L8=P2002JF!AY44,P2002JF!BB44,IF(P2002JF!L8=P2002JF!AY45,P2002JF!BB45,IF(P2002JF!L8=P2002JF!AY46,P2002JF!BB46,IF(P2002JF!L8=P2002JF!AY47,P2002JF!BB47,IF(P2002JF!L8=P2002JF!AY48,P2002JF!BB48,IF(P2002JF!L8=P2002JF!AY49,P2002JF!BB49,IF(P2002JF!L8=P2002JF!AY50,P2002JF!BB50,IF(P2002JF!L8=P2002JF!AY51,P2002JF!BB51,IF(P2002JF!L8=P2002JF!AY52,P2002JF!BB52,IF(P2002JF!L8=P2002JF!AY53,P2002JF!BB53,IF(P2002JF!L8=P2002JF!AY54,P2002JF!BB54,IF(P2002JF!L8=P2002JF!AY55,P2002JF!BB55,"?"))))))))))))))))))))))))))))))))))</f>
        <v>?</v>
      </c>
      <c r="V47" s="229" t="str">
        <f>IF(P2002JF!L8=P2002JF!AY23,P2002JF!BC23,IF(P2002JF!L8=P2002JF!AY24,P2002JF!BC24,IF(P2002JF!L8=P2002JF!AY25,P2002JF!BC25,IF(P2002JF!L8=P2002JF!AY26,P2002JF!BC26,IF(P2002JF!L8=P2002JF!AY27,P2002JF!BC27,IF(P2002JF!L8=P2002JF!AY28,P2002JF!BC28,IF(P2002JF!L8=P2002JF!AY28,P2002JF!BC28,IF(P2002JF!L8=P2002JF!AY29,P2002JF!BC29,IF(P2002JF!L8=P2002JF!AY30,P2002JF!BC30,IF(P2002JF!L8=P2002JF!AY32,P2002JF!BC32,IF(P2002JF!L8=P2002JF!AY33,P2002JF!BC33,IF(P2002JF!L8=P2002JF!AY34,P2002JF!BC34,IF(P2002JF!L8=P2002JF!AY34,P2002JF!BC34,IF(P2002JF!L8=P2002JF!AY35,P2002JF!BC35,IF(P2002JF!L8=P2002JF!AY36,P2002JF!BC36,IF(P2002JF!L8=P2002JF!AY37,P2002JF!BC37,IF(P2002JF!L8=P2002JF!AY38,P2002JF!BC38,IF(P2002JF!L8=P2002JF!AY39,P2002JF!BC39,IF(P2002JF!L8=P2002JF!AY40,P2002JF!BC40,IF(P2002JF!L8=P2002JF!AY41,P2002JF!BC41,IF(P2002JF!L8=P2002JF!AY42,P2002JF!BC42,IF(P2002JF!L8=P2002JF!AY43,P2002JF!BC43,IF(P2002JF!L8=P2002JF!AY44,P2002JF!BC44,IF(P2002JF!L8=P2002JF!AY45,P2002JF!BC45,IF(P2002JF!L8=P2002JF!AY46,P2002JF!BC46,IF(P2002JF!L8=P2002JF!AY47,P2002JF!BC47,IF(P2002JF!L8=P2002JF!AY48,P2002JF!BC48,IF(P2002JF!L8=P2002JF!AY49,P2002JF!BC49,IF(P2002JF!L8=P2002JF!AY50,P2002JF!BC50,IF(P2002JF!L8=P2002JF!AY51,P2002JF!BC51,IF(P2002JF!L8=P2002JF!AY52,P2002JF!BC52,IF(P2002JF!L8=P2002JF!AY53,P2002JF!BC53,IF(P2002JF!L8=P2002JF!AY54,P2002JF!BC54,IF(P2002JF!L8=P2002JF!AY55,P2002JF!BC55,"?"))))))))))))))))))))))))))))))))))</f>
        <v>?</v>
      </c>
      <c r="W47" s="234"/>
      <c r="X47" s="234"/>
      <c r="Y47" s="243"/>
      <c r="Z47" s="227" t="s">
        <v>824</v>
      </c>
      <c r="AA47" s="228" t="s">
        <v>827</v>
      </c>
      <c r="AB47" s="228" t="str">
        <f>IF(P2002JF!L9=P2002JF!AY23,P2002JF!BB23,IF(P2002JF!L9=P2002JF!AY24,P2002JF!BB24,IF(P2002JF!L9=P2002JF!AY25,P2002JF!BB25,IF(P2002JF!L9=P2002JF!AY26,P2002JF!BB26,IF(P2002JF!L9=P2002JF!AY27,P2002JF!BB27,IF(P2002JF!L9=P2002JF!AY28,P2002JF!BB28,IF(P2002JF!L9=P2002JF!AY28,P2002JF!BB28,IF(P2002JF!L9=P2002JF!AY29,P2002JF!BB29,IF(P2002JF!L9=P2002JF!AY30,P2002JF!BB30,IF(P2002JF!L9=P2002JF!AY32,P2002JF!BB32,IF(P2002JF!L9=P2002JF!AY33,P2002JF!BB33,IF(P2002JF!L9=P2002JF!AY34,P2002JF!BB34,IF(P2002JF!L9=P2002JF!AY34,P2002JF!BB34,IF(P2002JF!L9=P2002JF!AY35,P2002JF!BB35,IF(P2002JF!L9=P2002JF!AY36,P2002JF!BB36,IF(P2002JF!L9=P2002JF!AY37,P2002JF!BB37,IF(P2002JF!L9=P2002JF!AY38,P2002JF!BB38,IF(P2002JF!L9=P2002JF!AY39,P2002JF!BB39,IF(P2002JF!L9=P2002JF!AY40,P2002JF!BB40,IF(P2002JF!L9=P2002JF!AY41,P2002JF!BB41,IF(P2002JF!L9=P2002JF!AY42,P2002JF!BB42,IF(P2002JF!L9=P2002JF!AY43,P2002JF!BB43,IF(P2002JF!L9=P2002JF!AY44,P2002JF!BB44,IF(P2002JF!L9=P2002JF!AY45,P2002JF!BB45,IF(P2002JF!L9=P2002JF!AY46,P2002JF!BB46,IF(P2002JF!L9=P2002JF!AY47,P2002JF!BB47,IF(P2002JF!L9=P2002JF!AY48,P2002JF!BB48,IF(P2002JF!L9=P2002JF!AY49,P2002JF!BB49,IF(P2002JF!L9=P2002JF!AY50,P2002JF!BB50,IF(P2002JF!L9=P2002JF!AY51,P2002JF!BB51,IF(P2002JF!L9=P2002JF!AY52,P2002JF!BB52,IF(P2002JF!L9=P2002JF!AY53,P2002JF!BB53,IF(P2002JF!L9=P2002JF!AY54,P2002JF!BB54,IF(P2002JF!L9=P2002JF!AY55,P2002JF!BB55,"?"))))))))))))))))))))))))))))))))))</f>
        <v>?</v>
      </c>
      <c r="AC47" s="229" t="str">
        <f>IF(P2002JF!L9=P2002JF!AY23,P2002JF!BC23,IF(P2002JF!L9=P2002JF!AY24,P2002JF!BC24,IF(P2002JF!L9=P2002JF!AY25,P2002JF!BC25,IF(P2002JF!L9=P2002JF!AY26,P2002JF!BC26,IF(P2002JF!L9=P2002JF!AY27,P2002JF!BC27,IF(P2002JF!L9=P2002JF!AY28,P2002JF!BC28,IF(P2002JF!L9=P2002JF!AY28,P2002JF!BC28,IF(P2002JF!L9=P2002JF!AY29,P2002JF!BC29,IF(P2002JF!L9=P2002JF!AY30,P2002JF!BC30,IF(P2002JF!L9=P2002JF!AY32,P2002JF!BC32,IF(P2002JF!L9=P2002JF!AY33,P2002JF!BC33,IF(P2002JF!L9=P2002JF!AY34,P2002JF!BC34,IF(P2002JF!L9=P2002JF!AY34,P2002JF!BC34,IF(P2002JF!L9=P2002JF!AY35,P2002JF!BC35,IF(P2002JF!L9=P2002JF!AY36,P2002JF!BC36,IF(P2002JF!L9=P2002JF!AY37,P2002JF!BC37,IF(P2002JF!L9=P2002JF!AY38,P2002JF!BC38,IF(P2002JF!L9=P2002JF!AY39,P2002JF!BC39,IF(P2002JF!L9=P2002JF!AY40,P2002JF!BC40,IF(P2002JF!L9=P2002JF!AY41,P2002JF!BC41,IF(P2002JF!L9=P2002JF!AY42,P2002JF!BC42,IF(P2002JF!L9=P2002JF!AY43,P2002JF!BC43,IF(P2002JF!L9=P2002JF!AY44,P2002JF!BC44,IF(P2002JF!L9=P2002JF!AY45,P2002JF!BC45,IF(P2002JF!L9=P2002JF!AY46,P2002JF!BC46,IF(P2002JF!L9=P2002JF!AY47,P2002JF!BC47,IF(P2002JF!L9=P2002JF!AY48,P2002JF!BC48,IF(P2002JF!L9=P2002JF!AY49,P2002JF!BC49,IF(P2002JF!L9=P2002JF!AY50,P2002JF!BC50,IF(P2002JF!L9=P2002JF!AY51,P2002JF!BC51,IF(P2002JF!L9=P2002JF!AY52,P2002JF!BC52,IF(P2002JF!L9=P2002JF!AY53,P2002JF!BC53,IF(P2002JF!L9=P2002JF!AY54,P2002JF!BC54,IF(P2002JF!L9=P2002JF!AY55,P2002JF!BC55,"?"))))))))))))))))))))))))))))))))))</f>
        <v>?</v>
      </c>
      <c r="AD47" s="514" t="s">
        <v>821</v>
      </c>
      <c r="AE47" s="515"/>
      <c r="AF47" s="516"/>
    </row>
    <row r="48" spans="1:32" ht="3.9" customHeight="1" x14ac:dyDescent="0.3">
      <c r="A48" s="233"/>
      <c r="B48" s="234"/>
      <c r="C48" s="243"/>
      <c r="D48" s="234"/>
      <c r="E48" s="234"/>
      <c r="F48" s="234"/>
      <c r="G48" s="234"/>
      <c r="H48" s="234"/>
      <c r="I48" s="234"/>
      <c r="J48" s="234"/>
      <c r="K48" s="234"/>
      <c r="L48" s="234"/>
      <c r="M48" s="234"/>
      <c r="N48" s="234"/>
      <c r="O48" s="234"/>
      <c r="P48" s="234"/>
      <c r="Q48" s="234"/>
      <c r="R48" s="243"/>
      <c r="S48" s="234"/>
      <c r="T48" s="234"/>
      <c r="U48" s="234"/>
      <c r="V48" s="234"/>
      <c r="W48" s="234"/>
      <c r="X48" s="234"/>
      <c r="Y48" s="243"/>
      <c r="Z48" s="234"/>
      <c r="AA48" s="234"/>
      <c r="AB48" s="234"/>
      <c r="AC48" s="234"/>
      <c r="AD48" s="234"/>
      <c r="AE48" s="249"/>
      <c r="AF48" s="218"/>
    </row>
    <row r="49" spans="1:32" s="253" customFormat="1" ht="11.1" customHeight="1" x14ac:dyDescent="0.2">
      <c r="A49" s="250"/>
      <c r="B49" s="251" t="s">
        <v>753</v>
      </c>
      <c r="C49" s="251"/>
      <c r="D49" s="251"/>
      <c r="E49" s="251"/>
      <c r="F49" s="251"/>
      <c r="G49" s="251"/>
      <c r="H49" s="251"/>
      <c r="I49" s="251"/>
      <c r="J49" s="251"/>
      <c r="K49" s="251"/>
      <c r="L49" s="251"/>
      <c r="M49" s="251"/>
      <c r="N49" s="251"/>
      <c r="O49" s="251"/>
      <c r="P49" s="251"/>
      <c r="Q49" s="251"/>
      <c r="R49" s="251"/>
      <c r="S49" s="251"/>
      <c r="T49" s="251"/>
      <c r="U49" s="251"/>
      <c r="V49" s="251"/>
      <c r="W49" s="251"/>
      <c r="X49" s="251"/>
      <c r="Y49" s="251"/>
      <c r="Z49" s="251"/>
      <c r="AA49" s="251"/>
      <c r="AB49" s="251"/>
      <c r="AC49" s="251"/>
      <c r="AD49" s="251"/>
      <c r="AE49" s="251"/>
      <c r="AF49" s="252"/>
    </row>
    <row r="50" spans="1:32" s="223" customFormat="1" ht="9" customHeight="1" x14ac:dyDescent="0.3">
      <c r="A50" s="220"/>
      <c r="B50" s="221"/>
      <c r="C50" s="221" t="s">
        <v>754</v>
      </c>
      <c r="D50" s="221"/>
      <c r="E50" s="221"/>
      <c r="F50" s="221"/>
      <c r="G50" s="221"/>
      <c r="H50" s="221"/>
      <c r="I50" s="221"/>
      <c r="J50" s="221"/>
      <c r="K50" s="221"/>
      <c r="L50" s="221"/>
      <c r="M50" s="221"/>
      <c r="N50" s="221"/>
      <c r="O50" s="221"/>
      <c r="P50" s="221"/>
      <c r="Q50" s="221"/>
      <c r="R50" s="221"/>
      <c r="S50" s="221"/>
      <c r="T50" s="221"/>
      <c r="U50" s="221"/>
      <c r="V50" s="221"/>
      <c r="W50" s="221"/>
      <c r="X50" s="221"/>
      <c r="Y50" s="221"/>
      <c r="Z50" s="221"/>
      <c r="AA50" s="221"/>
      <c r="AB50" s="221"/>
      <c r="AC50" s="221"/>
      <c r="AD50" s="221"/>
      <c r="AE50" s="221"/>
      <c r="AF50" s="222"/>
    </row>
    <row r="51" spans="1:32" s="223" customFormat="1" ht="3" customHeight="1" x14ac:dyDescent="0.3">
      <c r="A51" s="220"/>
      <c r="B51" s="221"/>
      <c r="C51" s="221"/>
      <c r="D51" s="221"/>
      <c r="E51" s="221"/>
      <c r="F51" s="221"/>
      <c r="G51" s="221"/>
      <c r="H51" s="221"/>
      <c r="I51" s="221"/>
      <c r="J51" s="221"/>
      <c r="K51" s="221"/>
      <c r="L51" s="221"/>
      <c r="M51" s="221"/>
      <c r="N51" s="221"/>
      <c r="O51" s="221"/>
      <c r="P51" s="221"/>
      <c r="Q51" s="221"/>
      <c r="R51" s="221"/>
      <c r="S51" s="221"/>
      <c r="T51" s="221"/>
      <c r="U51" s="221"/>
      <c r="V51" s="221"/>
      <c r="W51" s="221"/>
      <c r="X51" s="221"/>
      <c r="Y51" s="221"/>
      <c r="Z51" s="221"/>
      <c r="AA51" s="221"/>
      <c r="AB51" s="221"/>
      <c r="AC51" s="221"/>
      <c r="AD51" s="221"/>
      <c r="AE51" s="221"/>
      <c r="AF51" s="222"/>
    </row>
    <row r="52" spans="1:32" ht="15" customHeight="1" x14ac:dyDescent="0.3">
      <c r="A52" s="254" t="s">
        <v>735</v>
      </c>
      <c r="B52" s="563"/>
      <c r="C52" s="563"/>
      <c r="D52" s="563"/>
      <c r="E52" s="563"/>
      <c r="F52" s="563"/>
      <c r="G52" s="563"/>
      <c r="H52" s="563"/>
      <c r="I52" s="563"/>
      <c r="J52" s="563"/>
      <c r="K52" s="563"/>
      <c r="L52" s="563"/>
      <c r="M52" s="563"/>
      <c r="N52" s="563"/>
      <c r="O52" s="563"/>
      <c r="P52" s="563"/>
      <c r="Q52" s="563"/>
      <c r="R52" s="563"/>
      <c r="S52" s="563"/>
      <c r="T52" s="563"/>
      <c r="U52" s="563"/>
      <c r="V52" s="563"/>
      <c r="W52" s="563"/>
      <c r="X52" s="563"/>
      <c r="Y52" s="563"/>
      <c r="Z52" s="563"/>
      <c r="AA52" s="563"/>
      <c r="AB52" s="563"/>
      <c r="AC52" s="563"/>
      <c r="AD52" s="563"/>
      <c r="AE52" s="563"/>
      <c r="AF52" s="563"/>
    </row>
    <row r="53" spans="1:32" ht="15" customHeight="1" x14ac:dyDescent="0.3">
      <c r="A53" s="527"/>
      <c r="B53" s="527"/>
      <c r="C53" s="527"/>
      <c r="D53" s="527"/>
      <c r="E53" s="527"/>
      <c r="F53" s="527"/>
      <c r="G53" s="527"/>
      <c r="H53" s="527"/>
      <c r="I53" s="527"/>
      <c r="J53" s="527"/>
      <c r="K53" s="527"/>
      <c r="L53" s="527"/>
      <c r="M53" s="527"/>
      <c r="N53" s="527"/>
      <c r="O53" s="527"/>
      <c r="P53" s="527"/>
      <c r="Q53" s="527"/>
      <c r="R53" s="527"/>
      <c r="S53" s="527"/>
      <c r="T53" s="527"/>
      <c r="U53" s="527"/>
      <c r="V53" s="527"/>
      <c r="W53" s="527"/>
      <c r="X53" s="527"/>
      <c r="Y53" s="527"/>
      <c r="Z53" s="527"/>
      <c r="AA53" s="527"/>
      <c r="AB53" s="527"/>
      <c r="AC53" s="527"/>
      <c r="AD53" s="527"/>
      <c r="AE53" s="527"/>
      <c r="AF53" s="527"/>
    </row>
    <row r="54" spans="1:32" ht="15" customHeight="1" x14ac:dyDescent="0.3">
      <c r="A54" s="527"/>
      <c r="B54" s="527"/>
      <c r="C54" s="527"/>
      <c r="D54" s="527"/>
      <c r="E54" s="527"/>
      <c r="F54" s="527"/>
      <c r="G54" s="527"/>
      <c r="H54" s="527"/>
      <c r="I54" s="527"/>
      <c r="J54" s="527"/>
      <c r="K54" s="527"/>
      <c r="L54" s="527"/>
      <c r="M54" s="527"/>
      <c r="N54" s="527"/>
      <c r="O54" s="527"/>
      <c r="P54" s="527"/>
      <c r="Q54" s="527"/>
      <c r="R54" s="527"/>
      <c r="S54" s="527"/>
      <c r="T54" s="527"/>
      <c r="U54" s="527"/>
      <c r="V54" s="527"/>
      <c r="W54" s="527"/>
      <c r="X54" s="527"/>
      <c r="Y54" s="527"/>
      <c r="Z54" s="527"/>
      <c r="AA54" s="527"/>
      <c r="AB54" s="527"/>
      <c r="AC54" s="527"/>
      <c r="AD54" s="527"/>
      <c r="AE54" s="527"/>
      <c r="AF54" s="527"/>
    </row>
    <row r="55" spans="1:32" ht="15" customHeight="1" x14ac:dyDescent="0.3">
      <c r="A55" s="527"/>
      <c r="B55" s="527"/>
      <c r="C55" s="527"/>
      <c r="D55" s="527"/>
      <c r="E55" s="527"/>
      <c r="F55" s="527"/>
      <c r="G55" s="527"/>
      <c r="H55" s="527"/>
      <c r="I55" s="527"/>
      <c r="J55" s="527"/>
      <c r="K55" s="527"/>
      <c r="L55" s="527"/>
      <c r="M55" s="527"/>
      <c r="N55" s="527"/>
      <c r="O55" s="527"/>
      <c r="P55" s="527"/>
      <c r="Q55" s="527"/>
      <c r="R55" s="527"/>
      <c r="S55" s="527"/>
      <c r="T55" s="527"/>
      <c r="U55" s="527"/>
      <c r="V55" s="527"/>
      <c r="W55" s="527"/>
      <c r="X55" s="527"/>
      <c r="Y55" s="527"/>
      <c r="Z55" s="527"/>
      <c r="AA55" s="527"/>
      <c r="AB55" s="527"/>
      <c r="AC55" s="528"/>
      <c r="AD55" s="528"/>
      <c r="AE55" s="528"/>
      <c r="AF55" s="528"/>
    </row>
    <row r="56" spans="1:32" s="219" customFormat="1" ht="15" customHeight="1" x14ac:dyDescent="0.3">
      <c r="A56" s="527"/>
      <c r="B56" s="527"/>
      <c r="C56" s="527"/>
      <c r="D56" s="527"/>
      <c r="E56" s="527"/>
      <c r="F56" s="527"/>
      <c r="G56" s="527"/>
      <c r="H56" s="527"/>
      <c r="I56" s="527"/>
      <c r="J56" s="527"/>
      <c r="K56" s="527"/>
      <c r="L56" s="527"/>
      <c r="M56" s="527"/>
      <c r="N56" s="527"/>
      <c r="O56" s="527"/>
      <c r="P56" s="527"/>
      <c r="Q56" s="527"/>
      <c r="R56" s="527"/>
      <c r="S56" s="527"/>
      <c r="T56" s="527"/>
      <c r="U56" s="527"/>
      <c r="V56" s="527"/>
      <c r="W56" s="527"/>
      <c r="X56" s="527"/>
      <c r="Y56" s="527"/>
      <c r="Z56" s="527"/>
      <c r="AA56" s="527"/>
      <c r="AB56" s="529"/>
      <c r="AC56" s="255" t="s">
        <v>783</v>
      </c>
      <c r="AD56" s="530" t="s">
        <v>821</v>
      </c>
      <c r="AE56" s="531"/>
      <c r="AF56" s="531"/>
    </row>
    <row r="57" spans="1:32" ht="5.0999999999999996" customHeight="1" x14ac:dyDescent="0.3">
      <c r="A57" s="233"/>
      <c r="B57" s="234"/>
      <c r="C57" s="234"/>
      <c r="D57" s="234"/>
      <c r="E57" s="234"/>
      <c r="F57" s="234"/>
      <c r="G57" s="234"/>
      <c r="H57" s="234"/>
      <c r="I57" s="234"/>
      <c r="J57" s="234"/>
      <c r="K57" s="234"/>
      <c r="L57" s="234"/>
      <c r="M57" s="234"/>
      <c r="N57" s="234"/>
      <c r="O57" s="234"/>
      <c r="P57" s="234"/>
      <c r="Q57" s="234"/>
      <c r="R57" s="234"/>
      <c r="S57" s="234"/>
      <c r="T57" s="234"/>
      <c r="U57" s="234"/>
      <c r="V57" s="234"/>
      <c r="W57" s="234"/>
      <c r="X57" s="234"/>
      <c r="Y57" s="234"/>
      <c r="Z57" s="234"/>
      <c r="AA57" s="234"/>
      <c r="AB57" s="234"/>
      <c r="AC57" s="234"/>
      <c r="AD57" s="234"/>
      <c r="AE57" s="234"/>
      <c r="AF57" s="235"/>
    </row>
    <row r="58" spans="1:32" s="219" customFormat="1" ht="9.9" customHeight="1" x14ac:dyDescent="0.3">
      <c r="A58" s="532" t="s">
        <v>755</v>
      </c>
      <c r="B58" s="533"/>
      <c r="C58" s="533"/>
      <c r="D58" s="533"/>
      <c r="E58" s="533"/>
      <c r="F58" s="533"/>
      <c r="G58" s="533"/>
      <c r="H58" s="533"/>
      <c r="I58" s="533"/>
      <c r="J58" s="533"/>
      <c r="K58" s="533"/>
      <c r="L58" s="533"/>
      <c r="M58" s="533"/>
      <c r="N58" s="533"/>
      <c r="O58" s="533"/>
      <c r="P58" s="533"/>
      <c r="Q58" s="533"/>
      <c r="R58" s="533"/>
      <c r="S58" s="533"/>
      <c r="T58" s="533"/>
      <c r="U58" s="533"/>
      <c r="V58" s="533"/>
      <c r="W58" s="533"/>
      <c r="X58" s="533"/>
      <c r="Y58" s="533"/>
      <c r="Z58" s="533"/>
      <c r="AA58" s="533"/>
      <c r="AB58" s="533"/>
      <c r="AC58" s="533"/>
      <c r="AD58" s="533"/>
      <c r="AE58" s="533"/>
      <c r="AF58" s="534"/>
    </row>
    <row r="59" spans="1:32" s="223" customFormat="1" ht="11.1" customHeight="1" x14ac:dyDescent="0.3">
      <c r="A59" s="535" t="s">
        <v>756</v>
      </c>
      <c r="B59" s="536"/>
      <c r="C59" s="536"/>
      <c r="D59" s="536"/>
      <c r="E59" s="536"/>
      <c r="F59" s="536"/>
      <c r="G59" s="536"/>
      <c r="H59" s="536"/>
      <c r="I59" s="536"/>
      <c r="J59" s="536"/>
      <c r="K59" s="536"/>
      <c r="L59" s="536"/>
      <c r="M59" s="536"/>
      <c r="N59" s="536"/>
      <c r="O59" s="536"/>
      <c r="P59" s="536"/>
      <c r="Q59" s="536"/>
      <c r="R59" s="536"/>
      <c r="S59" s="536"/>
      <c r="T59" s="536"/>
      <c r="U59" s="536"/>
      <c r="V59" s="536"/>
      <c r="W59" s="536"/>
      <c r="X59" s="536"/>
      <c r="Y59" s="536"/>
      <c r="Z59" s="536"/>
      <c r="AA59" s="536"/>
      <c r="AB59" s="536"/>
      <c r="AC59" s="536"/>
      <c r="AD59" s="536"/>
      <c r="AE59" s="536"/>
      <c r="AF59" s="537"/>
    </row>
    <row r="60" spans="1:32" ht="6.9" customHeight="1" x14ac:dyDescent="0.3">
      <c r="A60" s="233"/>
      <c r="B60" s="234"/>
      <c r="C60" s="234"/>
      <c r="D60" s="234"/>
      <c r="E60" s="234"/>
      <c r="F60" s="234"/>
      <c r="G60" s="234"/>
      <c r="H60" s="234"/>
      <c r="I60" s="234"/>
      <c r="J60" s="234"/>
      <c r="K60" s="234"/>
      <c r="L60" s="234"/>
      <c r="M60" s="234"/>
      <c r="N60" s="234"/>
      <c r="O60" s="234"/>
      <c r="P60" s="234"/>
      <c r="Q60" s="234"/>
      <c r="R60" s="234"/>
      <c r="S60" s="234"/>
      <c r="T60" s="234"/>
      <c r="U60" s="234"/>
      <c r="V60" s="234"/>
      <c r="W60" s="234"/>
      <c r="X60" s="234"/>
      <c r="Y60" s="234"/>
      <c r="Z60" s="234"/>
      <c r="AA60" s="234"/>
      <c r="AB60" s="234"/>
      <c r="AC60" s="234"/>
      <c r="AD60" s="234"/>
      <c r="AE60" s="234"/>
      <c r="AF60" s="235"/>
    </row>
    <row r="61" spans="1:32" s="219" customFormat="1" ht="9.9" customHeight="1" x14ac:dyDescent="0.3">
      <c r="A61" s="216"/>
      <c r="B61" s="217"/>
      <c r="C61" s="217"/>
      <c r="D61" s="526" t="s">
        <v>810</v>
      </c>
      <c r="E61" s="526"/>
      <c r="F61" s="526"/>
      <c r="G61" s="526"/>
      <c r="H61" s="526"/>
      <c r="I61" s="217"/>
      <c r="J61" s="217"/>
      <c r="K61" s="526" t="s">
        <v>808</v>
      </c>
      <c r="L61" s="526"/>
      <c r="M61" s="526"/>
      <c r="N61" s="526"/>
      <c r="O61" s="526"/>
      <c r="P61" s="526"/>
      <c r="Q61" s="217"/>
      <c r="R61" s="217"/>
      <c r="S61" s="217"/>
      <c r="T61" s="217"/>
      <c r="U61" s="217"/>
      <c r="V61" s="526" t="s">
        <v>806</v>
      </c>
      <c r="W61" s="526"/>
      <c r="X61" s="526"/>
      <c r="Y61" s="526"/>
      <c r="Z61" s="526"/>
      <c r="AA61" s="526"/>
      <c r="AB61" s="526"/>
      <c r="AC61" s="526"/>
      <c r="AD61" s="526"/>
      <c r="AE61" s="217"/>
      <c r="AF61" s="218"/>
    </row>
    <row r="62" spans="1:32" s="223" customFormat="1" ht="8.1" customHeight="1" x14ac:dyDescent="0.3">
      <c r="A62" s="220"/>
      <c r="B62" s="221"/>
      <c r="C62" s="221"/>
      <c r="D62" s="517" t="s">
        <v>811</v>
      </c>
      <c r="E62" s="517"/>
      <c r="F62" s="517"/>
      <c r="G62" s="517"/>
      <c r="H62" s="517"/>
      <c r="I62" s="221"/>
      <c r="J62" s="221"/>
      <c r="K62" s="517" t="s">
        <v>809</v>
      </c>
      <c r="L62" s="517"/>
      <c r="M62" s="517"/>
      <c r="N62" s="517"/>
      <c r="O62" s="517"/>
      <c r="P62" s="517"/>
      <c r="Q62" s="221"/>
      <c r="R62" s="221"/>
      <c r="S62" s="221"/>
      <c r="T62" s="221"/>
      <c r="U62" s="221"/>
      <c r="V62" s="517" t="s">
        <v>807</v>
      </c>
      <c r="W62" s="517"/>
      <c r="X62" s="517"/>
      <c r="Y62" s="517"/>
      <c r="Z62" s="517"/>
      <c r="AA62" s="517"/>
      <c r="AB62" s="517"/>
      <c r="AC62" s="517"/>
      <c r="AD62" s="517"/>
      <c r="AE62" s="221"/>
      <c r="AF62" s="222"/>
    </row>
    <row r="63" spans="1:32" s="223" customFormat="1" ht="9.9" customHeight="1" x14ac:dyDescent="0.3">
      <c r="A63" s="220"/>
      <c r="B63" s="221"/>
      <c r="C63" s="221"/>
      <c r="D63" s="518" t="s">
        <v>757</v>
      </c>
      <c r="E63" s="518"/>
      <c r="F63" s="518" t="s">
        <v>758</v>
      </c>
      <c r="G63" s="518"/>
      <c r="H63" s="221"/>
      <c r="I63" s="221"/>
      <c r="J63" s="221"/>
      <c r="K63" s="258"/>
      <c r="L63" s="221"/>
      <c r="M63" s="221"/>
      <c r="N63" s="221"/>
      <c r="O63" s="221"/>
      <c r="P63" s="221"/>
      <c r="Q63" s="221"/>
      <c r="R63" s="221"/>
      <c r="S63" s="221"/>
      <c r="T63" s="221"/>
      <c r="U63" s="221"/>
      <c r="V63" s="221"/>
      <c r="W63" s="221" t="s">
        <v>761</v>
      </c>
      <c r="X63" s="221"/>
      <c r="Y63" s="221"/>
      <c r="Z63" s="221" t="s">
        <v>762</v>
      </c>
      <c r="AA63" s="221"/>
      <c r="AB63" s="221"/>
      <c r="AC63" s="221" t="s">
        <v>763</v>
      </c>
      <c r="AD63" s="221"/>
      <c r="AE63" s="221"/>
      <c r="AF63" s="222"/>
    </row>
    <row r="64" spans="1:32" s="232" customFormat="1" ht="15.9" customHeight="1" x14ac:dyDescent="0.3">
      <c r="A64" s="259" t="s">
        <v>825</v>
      </c>
      <c r="B64" s="260" t="s">
        <v>427</v>
      </c>
      <c r="C64" s="261" t="s">
        <v>739</v>
      </c>
      <c r="D64" s="227"/>
      <c r="E64" s="285"/>
      <c r="F64" s="285"/>
      <c r="G64" s="286"/>
      <c r="H64" s="225"/>
      <c r="I64" s="225"/>
      <c r="J64" s="243"/>
      <c r="K64" s="224" t="s">
        <v>759</v>
      </c>
      <c r="L64" s="227">
        <v>0</v>
      </c>
      <c r="M64" s="228">
        <v>0</v>
      </c>
      <c r="N64" s="229">
        <f>IF(P2002JF!B29="✓",1,2)</f>
        <v>2</v>
      </c>
      <c r="O64" s="225"/>
      <c r="P64" s="225"/>
      <c r="Q64" s="225"/>
      <c r="R64" s="225"/>
      <c r="S64" s="225"/>
      <c r="T64" s="225"/>
      <c r="U64" s="243"/>
      <c r="V64" s="224" t="s">
        <v>760</v>
      </c>
      <c r="W64" s="262" t="s">
        <v>815</v>
      </c>
      <c r="X64" s="263"/>
      <c r="Y64" s="263"/>
      <c r="Z64" s="262" t="s">
        <v>816</v>
      </c>
      <c r="AA64" s="263"/>
      <c r="AB64" s="263"/>
      <c r="AC64" s="264" t="s">
        <v>427</v>
      </c>
      <c r="AD64" s="225"/>
      <c r="AE64" s="225"/>
      <c r="AF64" s="265"/>
    </row>
    <row r="65" spans="1:32" ht="9" customHeight="1" x14ac:dyDescent="0.3">
      <c r="A65" s="233"/>
      <c r="B65" s="234"/>
      <c r="C65" s="234"/>
      <c r="D65" s="234"/>
      <c r="E65" s="234"/>
      <c r="F65" s="234"/>
      <c r="G65" s="234"/>
      <c r="H65" s="234"/>
      <c r="I65" s="234"/>
      <c r="J65" s="234"/>
      <c r="K65" s="234"/>
      <c r="L65" s="234"/>
      <c r="M65" s="234"/>
      <c r="N65" s="234"/>
      <c r="O65" s="234"/>
      <c r="P65" s="234"/>
      <c r="Q65" s="234"/>
      <c r="R65" s="234"/>
      <c r="S65" s="234"/>
      <c r="T65" s="234"/>
      <c r="U65" s="234"/>
      <c r="V65" s="234"/>
      <c r="W65" s="234"/>
      <c r="X65" s="234"/>
      <c r="Y65" s="234"/>
      <c r="Z65" s="234"/>
      <c r="AA65" s="234"/>
      <c r="AB65" s="234"/>
      <c r="AC65" s="234"/>
      <c r="AD65" s="234"/>
      <c r="AE65" s="234"/>
      <c r="AF65" s="235"/>
    </row>
    <row r="66" spans="1:32" s="219" customFormat="1" ht="11.1" customHeight="1" x14ac:dyDescent="0.3">
      <c r="A66" s="216"/>
      <c r="B66" s="217"/>
      <c r="C66" s="217"/>
      <c r="D66" s="217" t="s">
        <v>764</v>
      </c>
      <c r="E66" s="217"/>
      <c r="F66" s="217"/>
      <c r="G66" s="217"/>
      <c r="H66" s="217"/>
      <c r="I66" s="217"/>
      <c r="J66" s="217"/>
      <c r="K66" s="217"/>
      <c r="L66" s="217"/>
      <c r="M66" s="217"/>
      <c r="N66" s="217"/>
      <c r="O66" s="217"/>
      <c r="P66" s="217"/>
      <c r="R66" s="217" t="s">
        <v>765</v>
      </c>
      <c r="S66" s="217"/>
      <c r="T66" s="217"/>
      <c r="U66" s="217"/>
      <c r="V66" s="217"/>
      <c r="W66" s="217"/>
      <c r="X66" s="217"/>
      <c r="Y66" s="217"/>
      <c r="Z66" s="217"/>
      <c r="AA66" s="217"/>
      <c r="AB66" s="217"/>
      <c r="AC66" s="217"/>
      <c r="AD66" s="217"/>
      <c r="AE66" s="217"/>
      <c r="AF66" s="218"/>
    </row>
    <row r="67" spans="1:32" s="270" customFormat="1" ht="8.1" customHeight="1" x14ac:dyDescent="0.3">
      <c r="A67" s="266"/>
      <c r="B67" s="267"/>
      <c r="C67" s="267"/>
      <c r="D67" s="267"/>
      <c r="E67" s="267"/>
      <c r="F67" s="267"/>
      <c r="G67" s="267" t="s">
        <v>766</v>
      </c>
      <c r="H67" s="267"/>
      <c r="I67" s="519" t="s">
        <v>826</v>
      </c>
      <c r="J67" s="519"/>
      <c r="K67" s="519"/>
      <c r="L67" s="519"/>
      <c r="M67" s="267" t="s">
        <v>768</v>
      </c>
      <c r="N67" s="267"/>
      <c r="O67" s="267"/>
      <c r="P67" s="267" t="s">
        <v>769</v>
      </c>
      <c r="Q67" s="267"/>
      <c r="R67" s="267"/>
      <c r="S67" s="267"/>
      <c r="T67" s="267"/>
      <c r="U67" s="267"/>
      <c r="V67" s="268" t="s">
        <v>771</v>
      </c>
      <c r="W67" s="267"/>
      <c r="X67" s="267"/>
      <c r="Y67" s="268" t="s">
        <v>773</v>
      </c>
      <c r="Z67" s="267"/>
      <c r="AA67" s="267"/>
      <c r="AB67" s="267"/>
      <c r="AC67" s="267"/>
      <c r="AD67" s="267"/>
      <c r="AE67" s="267"/>
      <c r="AF67" s="269"/>
    </row>
    <row r="68" spans="1:32" s="223" customFormat="1" ht="9.9" customHeight="1" x14ac:dyDescent="0.3">
      <c r="A68" s="220"/>
      <c r="B68" s="221"/>
      <c r="C68" s="221"/>
      <c r="D68" s="221"/>
      <c r="E68" s="221"/>
      <c r="F68" s="221"/>
      <c r="G68" s="221" t="s">
        <v>767</v>
      </c>
      <c r="H68" s="221"/>
      <c r="I68" s="517" t="s">
        <v>839</v>
      </c>
      <c r="J68" s="517"/>
      <c r="K68" s="517"/>
      <c r="L68" s="517"/>
      <c r="M68" s="221" t="s">
        <v>840</v>
      </c>
      <c r="N68" s="221"/>
      <c r="O68" s="221"/>
      <c r="P68" s="221" t="s">
        <v>770</v>
      </c>
      <c r="Q68" s="221"/>
      <c r="R68" s="221"/>
      <c r="S68" s="221"/>
      <c r="T68" s="221"/>
      <c r="U68" s="221"/>
      <c r="V68" s="257" t="s">
        <v>772</v>
      </c>
      <c r="W68" s="221"/>
      <c r="X68" s="221"/>
      <c r="Y68" s="257" t="s">
        <v>774</v>
      </c>
      <c r="Z68" s="221"/>
      <c r="AA68" s="221"/>
      <c r="AB68" s="221" t="s">
        <v>761</v>
      </c>
      <c r="AC68" s="221"/>
      <c r="AD68" s="221"/>
      <c r="AE68" s="221" t="s">
        <v>762</v>
      </c>
      <c r="AF68" s="222"/>
    </row>
    <row r="69" spans="1:32" s="223" customFormat="1" ht="2.1" customHeight="1" x14ac:dyDescent="0.3">
      <c r="A69" s="220"/>
      <c r="B69" s="221"/>
      <c r="C69" s="221"/>
      <c r="D69" s="221"/>
      <c r="E69" s="221"/>
      <c r="F69" s="221"/>
      <c r="G69" s="221"/>
      <c r="H69" s="221"/>
      <c r="I69" s="248"/>
      <c r="J69" s="248"/>
      <c r="K69" s="248"/>
      <c r="L69" s="248"/>
      <c r="M69" s="221"/>
      <c r="N69" s="221"/>
      <c r="O69" s="221"/>
      <c r="P69" s="221"/>
      <c r="Q69" s="221"/>
      <c r="R69" s="221"/>
      <c r="S69" s="221"/>
      <c r="T69" s="221"/>
      <c r="U69" s="221"/>
      <c r="V69" s="257"/>
      <c r="W69" s="221"/>
      <c r="X69" s="221"/>
      <c r="Y69" s="257"/>
      <c r="Z69" s="221"/>
      <c r="AA69" s="221"/>
      <c r="AB69" s="221"/>
      <c r="AC69" s="221"/>
      <c r="AD69" s="221"/>
      <c r="AE69" s="221"/>
      <c r="AF69" s="222"/>
    </row>
    <row r="70" spans="1:32" ht="15.9" customHeight="1" x14ac:dyDescent="0.3">
      <c r="A70" s="233"/>
      <c r="B70" s="234"/>
      <c r="C70" s="243"/>
      <c r="D70" s="264" t="s">
        <v>824</v>
      </c>
      <c r="E70" s="260"/>
      <c r="F70" s="241" t="s">
        <v>739</v>
      </c>
      <c r="G70" s="262" t="s">
        <v>812</v>
      </c>
      <c r="H70" s="260"/>
      <c r="I70" s="260"/>
      <c r="J70" s="262" t="s">
        <v>428</v>
      </c>
      <c r="K70" s="260"/>
      <c r="L70" s="260"/>
      <c r="M70" s="262" t="s">
        <v>813</v>
      </c>
      <c r="N70" s="260"/>
      <c r="O70" s="260"/>
      <c r="P70" s="264" t="s">
        <v>814</v>
      </c>
      <c r="Q70" s="260"/>
      <c r="R70" s="226" t="s">
        <v>825</v>
      </c>
      <c r="S70" s="262" t="s">
        <v>814</v>
      </c>
      <c r="T70" s="520" t="s">
        <v>739</v>
      </c>
      <c r="U70" s="521"/>
      <c r="V70" s="262" t="s">
        <v>817</v>
      </c>
      <c r="W70" s="260"/>
      <c r="X70" s="260"/>
      <c r="Y70" s="262" t="s">
        <v>818</v>
      </c>
      <c r="Z70" s="260"/>
      <c r="AA70" s="260"/>
      <c r="AB70" s="262" t="s">
        <v>815</v>
      </c>
      <c r="AC70" s="260"/>
      <c r="AD70" s="260"/>
      <c r="AE70" s="262" t="s">
        <v>816</v>
      </c>
      <c r="AF70" s="235"/>
    </row>
    <row r="71" spans="1:32" ht="5.0999999999999996" customHeight="1" x14ac:dyDescent="0.3">
      <c r="A71" s="233"/>
      <c r="B71" s="234"/>
      <c r="C71" s="234"/>
      <c r="D71" s="234"/>
      <c r="E71" s="234"/>
      <c r="F71" s="234"/>
      <c r="G71" s="234"/>
      <c r="H71" s="234"/>
      <c r="I71" s="234"/>
      <c r="J71" s="234"/>
      <c r="K71" s="234"/>
      <c r="L71" s="234"/>
      <c r="M71" s="234"/>
      <c r="N71" s="234"/>
      <c r="O71" s="234"/>
      <c r="P71" s="234"/>
      <c r="Q71" s="234"/>
      <c r="R71" s="234"/>
      <c r="S71" s="234"/>
      <c r="T71" s="234"/>
      <c r="U71" s="234"/>
      <c r="V71" s="234"/>
      <c r="W71" s="234"/>
      <c r="X71" s="234"/>
      <c r="Y71" s="234"/>
      <c r="Z71" s="234"/>
      <c r="AA71" s="234"/>
      <c r="AB71" s="234"/>
      <c r="AC71" s="234"/>
      <c r="AD71" s="234"/>
      <c r="AE71" s="234"/>
      <c r="AF71" s="235"/>
    </row>
    <row r="72" spans="1:32" s="219" customFormat="1" ht="9.9" customHeight="1" x14ac:dyDescent="0.3">
      <c r="A72" s="216"/>
      <c r="B72" s="217"/>
      <c r="C72" s="217"/>
      <c r="D72" s="217" t="s">
        <v>775</v>
      </c>
      <c r="E72" s="217"/>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8"/>
    </row>
    <row r="73" spans="1:32" s="270" customFormat="1" ht="9" customHeight="1" x14ac:dyDescent="0.3">
      <c r="A73" s="266"/>
      <c r="B73" s="267"/>
      <c r="C73" s="267"/>
      <c r="D73" s="267" t="s">
        <v>776</v>
      </c>
      <c r="E73" s="267"/>
      <c r="F73" s="267"/>
      <c r="G73" s="267" t="s">
        <v>777</v>
      </c>
      <c r="H73" s="267"/>
      <c r="I73" s="267"/>
      <c r="J73" s="267"/>
      <c r="K73" s="267"/>
      <c r="L73" s="267" t="s">
        <v>779</v>
      </c>
      <c r="M73" s="267"/>
      <c r="N73" s="267"/>
      <c r="O73" s="267"/>
      <c r="P73" s="267"/>
      <c r="Q73" s="267"/>
      <c r="R73" s="267"/>
      <c r="S73" s="267"/>
      <c r="T73" s="267"/>
      <c r="U73" s="267"/>
      <c r="V73" s="267"/>
      <c r="W73" s="267"/>
      <c r="X73" s="267"/>
      <c r="Y73" s="267"/>
      <c r="Z73" s="267"/>
      <c r="AA73" s="267"/>
      <c r="AB73" s="267"/>
      <c r="AC73" s="267"/>
      <c r="AD73" s="267"/>
      <c r="AE73" s="267"/>
      <c r="AF73" s="269"/>
    </row>
    <row r="74" spans="1:32" s="223" customFormat="1" ht="9.9" customHeight="1" x14ac:dyDescent="0.3">
      <c r="A74" s="220"/>
      <c r="B74" s="221"/>
      <c r="C74" s="221"/>
      <c r="D74" s="221" t="s">
        <v>738</v>
      </c>
      <c r="E74" s="221"/>
      <c r="F74" s="221"/>
      <c r="G74" s="221" t="s">
        <v>778</v>
      </c>
      <c r="H74" s="221"/>
      <c r="I74" s="221"/>
      <c r="J74" s="221"/>
      <c r="K74" s="221"/>
      <c r="L74" s="221" t="s">
        <v>780</v>
      </c>
      <c r="M74" s="221"/>
      <c r="N74" s="221"/>
      <c r="O74" s="221"/>
      <c r="P74" s="221"/>
      <c r="Q74" s="221"/>
      <c r="R74" s="221"/>
      <c r="S74" s="221"/>
      <c r="T74" s="221"/>
      <c r="U74" s="221"/>
      <c r="V74" s="221"/>
      <c r="W74" s="221"/>
      <c r="X74" s="221"/>
      <c r="Y74" s="221"/>
      <c r="Z74" s="221"/>
      <c r="AA74" s="221"/>
      <c r="AB74" s="221"/>
      <c r="AC74" s="221"/>
      <c r="AD74" s="221"/>
      <c r="AE74" s="221"/>
      <c r="AF74" s="222"/>
    </row>
    <row r="75" spans="1:32" s="223" customFormat="1" ht="2.1" customHeight="1" x14ac:dyDescent="0.3">
      <c r="A75" s="220"/>
      <c r="B75" s="221"/>
      <c r="C75" s="221"/>
      <c r="D75" s="221"/>
      <c r="E75" s="221"/>
      <c r="F75" s="221"/>
      <c r="G75" s="221"/>
      <c r="H75" s="221"/>
      <c r="I75" s="221"/>
      <c r="J75" s="221"/>
      <c r="K75" s="221"/>
      <c r="L75" s="221"/>
      <c r="M75" s="221"/>
      <c r="N75" s="221"/>
      <c r="O75" s="221"/>
      <c r="P75" s="221"/>
      <c r="Q75" s="221"/>
      <c r="R75" s="221"/>
      <c r="S75" s="221"/>
      <c r="T75" s="221"/>
      <c r="U75" s="221"/>
      <c r="V75" s="221"/>
      <c r="W75" s="221"/>
      <c r="X75" s="221"/>
      <c r="Y75" s="221"/>
      <c r="Z75" s="221"/>
      <c r="AA75" s="221"/>
      <c r="AB75" s="221"/>
      <c r="AC75" s="221"/>
      <c r="AD75" s="221"/>
      <c r="AE75" s="221"/>
      <c r="AF75" s="222"/>
    </row>
    <row r="76" spans="1:32" ht="15.9" customHeight="1" x14ac:dyDescent="0.3">
      <c r="A76" s="271"/>
      <c r="B76" s="272" t="s">
        <v>428</v>
      </c>
      <c r="C76" s="261" t="s">
        <v>739</v>
      </c>
      <c r="D76" s="227"/>
      <c r="E76" s="229"/>
      <c r="F76" s="243"/>
      <c r="G76" s="227"/>
      <c r="H76" s="228"/>
      <c r="I76" s="228"/>
      <c r="J76" s="229"/>
      <c r="K76" s="243"/>
      <c r="L76" s="264" t="s">
        <v>429</v>
      </c>
      <c r="M76" s="260"/>
      <c r="N76" s="243"/>
      <c r="O76" s="522"/>
      <c r="P76" s="523"/>
      <c r="Q76" s="523"/>
      <c r="R76" s="523"/>
      <c r="S76" s="524"/>
      <c r="T76" s="514" t="s">
        <v>821</v>
      </c>
      <c r="U76" s="515"/>
      <c r="V76" s="515"/>
      <c r="W76" s="256"/>
      <c r="X76" s="234"/>
      <c r="Y76" s="234"/>
      <c r="Z76" s="234"/>
      <c r="AA76" s="234"/>
      <c r="AB76" s="234"/>
      <c r="AC76" s="234"/>
      <c r="AD76" s="234"/>
      <c r="AE76" s="234"/>
      <c r="AF76" s="235"/>
    </row>
    <row r="77" spans="1:32" ht="3" customHeight="1" x14ac:dyDescent="0.3">
      <c r="A77" s="271"/>
      <c r="B77" s="273"/>
      <c r="C77" s="261"/>
      <c r="D77" s="202"/>
      <c r="E77" s="202"/>
      <c r="F77" s="243"/>
      <c r="G77" s="202"/>
      <c r="H77" s="202"/>
      <c r="I77" s="202"/>
      <c r="J77" s="202"/>
      <c r="K77" s="243"/>
      <c r="L77" s="274"/>
      <c r="M77" s="260"/>
      <c r="N77" s="243"/>
      <c r="O77" s="202"/>
      <c r="P77" s="202"/>
      <c r="Q77" s="202"/>
      <c r="R77" s="202"/>
      <c r="S77" s="202"/>
      <c r="T77" s="224"/>
      <c r="U77" s="224"/>
      <c r="V77" s="224"/>
      <c r="W77" s="256"/>
      <c r="X77" s="234"/>
      <c r="Y77" s="234"/>
      <c r="Z77" s="234"/>
      <c r="AA77" s="234"/>
      <c r="AB77" s="234"/>
      <c r="AC77" s="234"/>
      <c r="AD77" s="234"/>
      <c r="AE77" s="234"/>
      <c r="AF77" s="235"/>
    </row>
    <row r="78" spans="1:32" s="219" customFormat="1" ht="15" customHeight="1" x14ac:dyDescent="0.3">
      <c r="A78" s="216"/>
      <c r="B78" s="256"/>
      <c r="C78" s="261"/>
      <c r="D78" s="217" t="s">
        <v>781</v>
      </c>
      <c r="E78" s="217"/>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8"/>
    </row>
    <row r="79" spans="1:32" ht="15" customHeight="1" x14ac:dyDescent="0.3">
      <c r="A79" s="233"/>
      <c r="B79" s="260" t="s">
        <v>413</v>
      </c>
      <c r="C79" s="261" t="s">
        <v>739</v>
      </c>
      <c r="D79" s="525" t="s">
        <v>829</v>
      </c>
      <c r="E79" s="525"/>
      <c r="F79" s="525"/>
      <c r="G79" s="525"/>
      <c r="H79" s="525"/>
      <c r="I79" s="525"/>
      <c r="J79" s="525"/>
      <c r="K79" s="525"/>
      <c r="L79" s="525"/>
      <c r="M79" s="525"/>
      <c r="N79" s="525"/>
      <c r="O79" s="525"/>
      <c r="P79" s="525"/>
      <c r="Q79" s="525"/>
      <c r="R79" s="525"/>
      <c r="S79" s="525"/>
      <c r="T79" s="525"/>
      <c r="U79" s="525"/>
      <c r="V79" s="525"/>
      <c r="W79" s="525"/>
      <c r="X79" s="525"/>
      <c r="Y79" s="525"/>
      <c r="Z79" s="525"/>
      <c r="AA79" s="525"/>
      <c r="AB79" s="525"/>
      <c r="AC79" s="525"/>
      <c r="AD79" s="525"/>
      <c r="AE79" s="525"/>
      <c r="AF79" s="525"/>
    </row>
    <row r="80" spans="1:32" ht="3" customHeight="1" x14ac:dyDescent="0.3">
      <c r="A80" s="233"/>
      <c r="B80" s="260"/>
      <c r="C80" s="261"/>
      <c r="D80" s="275"/>
      <c r="E80" s="275"/>
      <c r="F80" s="275"/>
      <c r="G80" s="275"/>
      <c r="H80" s="275"/>
      <c r="I80" s="275"/>
      <c r="J80" s="275"/>
      <c r="K80" s="275"/>
      <c r="L80" s="275"/>
      <c r="M80" s="275"/>
      <c r="N80" s="275"/>
      <c r="O80" s="275"/>
      <c r="P80" s="275"/>
      <c r="Q80" s="275"/>
      <c r="R80" s="275"/>
      <c r="S80" s="275"/>
      <c r="T80" s="275"/>
      <c r="U80" s="275"/>
      <c r="V80" s="275"/>
      <c r="W80" s="275"/>
      <c r="X80" s="275"/>
      <c r="Y80" s="275"/>
      <c r="Z80" s="275"/>
      <c r="AA80" s="275"/>
      <c r="AB80" s="275"/>
      <c r="AC80" s="275"/>
      <c r="AD80" s="275"/>
      <c r="AE80" s="275"/>
      <c r="AF80" s="276"/>
    </row>
    <row r="81" spans="1:33" s="219" customFormat="1" ht="15" customHeight="1" x14ac:dyDescent="0.3">
      <c r="A81" s="216"/>
      <c r="B81" s="217"/>
      <c r="C81" s="277"/>
      <c r="D81" s="217" t="s">
        <v>819</v>
      </c>
      <c r="E81" s="217"/>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8"/>
    </row>
    <row r="82" spans="1:33" ht="15" customHeight="1" x14ac:dyDescent="0.3">
      <c r="A82" s="271"/>
      <c r="B82" s="272" t="s">
        <v>820</v>
      </c>
      <c r="C82" s="261" t="s">
        <v>739</v>
      </c>
      <c r="D82" s="513"/>
      <c r="E82" s="513"/>
      <c r="F82" s="513"/>
      <c r="G82" s="513"/>
      <c r="H82" s="513"/>
      <c r="I82" s="513"/>
      <c r="J82" s="513"/>
      <c r="K82" s="513"/>
      <c r="L82" s="513"/>
      <c r="M82" s="513"/>
      <c r="N82" s="513"/>
      <c r="O82" s="513"/>
      <c r="P82" s="513"/>
      <c r="Q82" s="513"/>
      <c r="R82" s="513"/>
      <c r="S82" s="513"/>
      <c r="T82" s="513"/>
      <c r="U82" s="513"/>
      <c r="V82" s="513"/>
      <c r="W82" s="513"/>
      <c r="X82" s="513"/>
      <c r="Y82" s="513"/>
      <c r="Z82" s="513"/>
      <c r="AA82" s="513"/>
      <c r="AB82" s="514" t="s">
        <v>821</v>
      </c>
      <c r="AC82" s="515"/>
      <c r="AD82" s="515"/>
      <c r="AE82" s="515"/>
      <c r="AF82" s="516"/>
    </row>
    <row r="83" spans="1:33" ht="3" customHeight="1" x14ac:dyDescent="0.3">
      <c r="A83" s="271"/>
      <c r="B83" s="273"/>
      <c r="C83" s="261"/>
      <c r="D83" s="273"/>
      <c r="E83" s="273"/>
      <c r="F83" s="273"/>
      <c r="G83" s="273"/>
      <c r="H83" s="273"/>
      <c r="I83" s="273"/>
      <c r="J83" s="273"/>
      <c r="K83" s="273"/>
      <c r="L83" s="273"/>
      <c r="M83" s="273"/>
      <c r="N83" s="273"/>
      <c r="O83" s="273"/>
      <c r="P83" s="273"/>
      <c r="Q83" s="273"/>
      <c r="R83" s="273"/>
      <c r="S83" s="273"/>
      <c r="T83" s="273"/>
      <c r="U83" s="273"/>
      <c r="V83" s="273"/>
      <c r="W83" s="273"/>
      <c r="X83" s="273"/>
      <c r="Y83" s="273"/>
      <c r="Z83" s="273"/>
      <c r="AA83" s="273"/>
      <c r="AB83" s="224"/>
      <c r="AC83" s="224"/>
      <c r="AD83" s="224"/>
      <c r="AE83" s="224"/>
      <c r="AF83" s="231"/>
    </row>
    <row r="84" spans="1:33" s="219" customFormat="1" ht="12.9" customHeight="1" x14ac:dyDescent="0.3">
      <c r="A84" s="216"/>
      <c r="B84" s="217"/>
      <c r="C84" s="277"/>
      <c r="D84" s="217" t="s">
        <v>782</v>
      </c>
      <c r="E84" s="217"/>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8"/>
    </row>
    <row r="85" spans="1:33" ht="15" customHeight="1" x14ac:dyDescent="0.3">
      <c r="A85" s="233"/>
      <c r="B85" s="260" t="s">
        <v>429</v>
      </c>
      <c r="C85" s="261" t="s">
        <v>739</v>
      </c>
      <c r="D85" s="486" t="str">
        <f>UPPER(A88)</f>
        <v>LUIS CARLOS ANDRADE</v>
      </c>
      <c r="E85" s="487"/>
      <c r="F85" s="487"/>
      <c r="G85" s="487"/>
      <c r="H85" s="487"/>
      <c r="I85" s="487"/>
      <c r="J85" s="487"/>
      <c r="K85" s="487"/>
      <c r="L85" s="487"/>
      <c r="M85" s="487"/>
      <c r="N85" s="487"/>
      <c r="O85" s="487"/>
      <c r="P85" s="487"/>
      <c r="Q85" s="487"/>
      <c r="R85" s="487"/>
      <c r="S85" s="487"/>
      <c r="T85" s="487"/>
      <c r="U85" s="487"/>
      <c r="V85" s="488"/>
      <c r="W85" s="278" t="s">
        <v>783</v>
      </c>
      <c r="X85" s="489" t="s">
        <v>821</v>
      </c>
      <c r="Y85" s="489"/>
      <c r="Z85" s="489"/>
      <c r="AA85" s="489"/>
      <c r="AB85" s="489"/>
      <c r="AC85" s="234"/>
      <c r="AD85" s="234"/>
      <c r="AE85" s="234"/>
      <c r="AF85" s="235"/>
    </row>
    <row r="86" spans="1:33" ht="6" customHeight="1" x14ac:dyDescent="0.3">
      <c r="A86" s="233"/>
      <c r="B86" s="234"/>
      <c r="C86" s="234"/>
      <c r="D86" s="234"/>
      <c r="E86" s="234"/>
      <c r="F86" s="234"/>
      <c r="G86" s="234"/>
      <c r="H86" s="234"/>
      <c r="I86" s="234"/>
      <c r="J86" s="234"/>
      <c r="K86" s="234"/>
      <c r="L86" s="234"/>
      <c r="M86" s="234"/>
      <c r="N86" s="234"/>
      <c r="O86" s="234"/>
      <c r="P86" s="234"/>
      <c r="Q86" s="234"/>
      <c r="R86" s="234"/>
      <c r="S86" s="234"/>
      <c r="T86" s="234"/>
      <c r="U86" s="234"/>
      <c r="V86" s="234"/>
      <c r="W86" s="234"/>
      <c r="X86" s="234"/>
      <c r="Y86" s="234"/>
      <c r="Z86" s="234"/>
      <c r="AA86" s="234"/>
      <c r="AB86" s="234"/>
      <c r="AC86" s="234"/>
      <c r="AD86" s="234"/>
      <c r="AE86" s="234"/>
      <c r="AF86" s="235"/>
    </row>
    <row r="87" spans="1:33" s="281" customFormat="1" ht="14.1" customHeight="1" x14ac:dyDescent="0.3">
      <c r="A87" s="279"/>
      <c r="B87" s="280"/>
      <c r="C87" s="280"/>
      <c r="D87" s="490" t="s">
        <v>784</v>
      </c>
      <c r="E87" s="490"/>
      <c r="F87" s="490"/>
      <c r="G87" s="490"/>
      <c r="H87" s="490"/>
      <c r="I87" s="490"/>
      <c r="J87" s="490"/>
      <c r="K87" s="490"/>
      <c r="L87" s="490"/>
      <c r="M87" s="490"/>
      <c r="N87" s="490"/>
      <c r="O87" s="490"/>
      <c r="P87" s="490"/>
      <c r="Q87" s="490"/>
      <c r="R87" s="490"/>
      <c r="S87" s="490"/>
      <c r="T87" s="490"/>
      <c r="U87" s="490"/>
      <c r="V87" s="490"/>
      <c r="W87" s="490"/>
      <c r="X87" s="490"/>
      <c r="Y87" s="490"/>
      <c r="Z87" s="490"/>
      <c r="AA87" s="490"/>
      <c r="AB87" s="490"/>
      <c r="AC87" s="490"/>
      <c r="AD87" s="490"/>
      <c r="AE87" s="490"/>
      <c r="AF87" s="491"/>
    </row>
    <row r="88" spans="1:33" ht="9.9" customHeight="1" x14ac:dyDescent="0.3">
      <c r="A88" s="492" t="str">
        <f>UPPER(IF(P2002JF!B29="✓",P2002JF!AD10,P2002JF!AD9))</f>
        <v>LUIS CARLOS ANDRADE</v>
      </c>
      <c r="B88" s="492"/>
      <c r="C88" s="492"/>
      <c r="D88" s="492"/>
      <c r="E88" s="492"/>
      <c r="F88" s="492"/>
      <c r="G88" s="493"/>
      <c r="H88" s="494" t="s">
        <v>845</v>
      </c>
      <c r="I88" s="495"/>
      <c r="J88" s="495"/>
      <c r="K88" s="495"/>
      <c r="L88" s="495"/>
      <c r="M88" s="495"/>
      <c r="N88" s="495"/>
      <c r="O88" s="495"/>
      <c r="P88" s="495"/>
      <c r="Q88" s="495"/>
      <c r="R88" s="496"/>
      <c r="S88" s="497" t="s">
        <v>785</v>
      </c>
      <c r="T88" s="498"/>
      <c r="U88" s="498"/>
      <c r="V88" s="498"/>
      <c r="W88" s="498"/>
      <c r="X88" s="498"/>
      <c r="Y88" s="498"/>
      <c r="Z88" s="498"/>
      <c r="AA88" s="499"/>
      <c r="AB88" s="500" t="s">
        <v>833</v>
      </c>
      <c r="AC88" s="501"/>
      <c r="AD88" s="501"/>
      <c r="AE88" s="501"/>
      <c r="AF88" s="501"/>
      <c r="AG88" s="199"/>
    </row>
    <row r="89" spans="1:33" ht="11.1" customHeight="1" x14ac:dyDescent="0.3">
      <c r="A89" s="492"/>
      <c r="B89" s="492"/>
      <c r="C89" s="492"/>
      <c r="D89" s="492"/>
      <c r="E89" s="492"/>
      <c r="F89" s="492"/>
      <c r="G89" s="493"/>
      <c r="H89" s="494" t="s">
        <v>846</v>
      </c>
      <c r="I89" s="495"/>
      <c r="J89" s="495"/>
      <c r="K89" s="495"/>
      <c r="L89" s="495"/>
      <c r="M89" s="495"/>
      <c r="N89" s="495"/>
      <c r="O89" s="495"/>
      <c r="P89" s="495"/>
      <c r="Q89" s="495"/>
      <c r="R89" s="496"/>
      <c r="S89" s="502" t="s">
        <v>786</v>
      </c>
      <c r="T89" s="502"/>
      <c r="U89" s="502"/>
      <c r="V89" s="502" t="s">
        <v>787</v>
      </c>
      <c r="W89" s="502"/>
      <c r="X89" s="502"/>
      <c r="Y89" s="502" t="s">
        <v>788</v>
      </c>
      <c r="Z89" s="502"/>
      <c r="AA89" s="502"/>
      <c r="AB89" s="503" t="str">
        <f>IF(P2002JF!B29="✓",P2002JF!AE10,P2002JF!AE9)</f>
        <v>IVA 1328</v>
      </c>
      <c r="AC89" s="504"/>
      <c r="AD89" s="504"/>
      <c r="AE89" s="504"/>
      <c r="AF89" s="504"/>
      <c r="AG89" s="199"/>
    </row>
    <row r="90" spans="1:33" ht="23.1" customHeight="1" x14ac:dyDescent="0.3">
      <c r="A90" s="505" t="str">
        <f>IF(P2002JF!B29="✓",P2002JF!AE10,P2002JF!AE9)</f>
        <v>IVA 1328</v>
      </c>
      <c r="B90" s="505"/>
      <c r="C90" s="505"/>
      <c r="D90" s="505"/>
      <c r="E90" s="505"/>
      <c r="F90" s="505"/>
      <c r="G90" s="505"/>
      <c r="H90" s="288"/>
      <c r="I90" s="287"/>
      <c r="J90" s="287"/>
      <c r="K90" s="287"/>
      <c r="L90" s="287"/>
      <c r="M90" s="287"/>
      <c r="N90" s="287"/>
      <c r="O90" s="287"/>
      <c r="P90" s="287"/>
      <c r="Q90" s="287"/>
      <c r="R90" s="287"/>
      <c r="S90" s="506">
        <v>5</v>
      </c>
      <c r="T90" s="507"/>
      <c r="U90" s="507"/>
      <c r="V90" s="508">
        <v>10</v>
      </c>
      <c r="W90" s="509"/>
      <c r="X90" s="510"/>
      <c r="Y90" s="511">
        <f>YEAR(P2002JF!D8)</f>
        <v>1900</v>
      </c>
      <c r="Z90" s="511"/>
      <c r="AA90" s="512"/>
      <c r="AB90" s="504"/>
      <c r="AC90" s="504"/>
      <c r="AD90" s="504"/>
      <c r="AE90" s="504"/>
      <c r="AF90" s="504"/>
      <c r="AG90" s="199"/>
    </row>
    <row r="91" spans="1:33" ht="9" customHeight="1" x14ac:dyDescent="0.3">
      <c r="A91" s="282" t="s">
        <v>847</v>
      </c>
      <c r="B91" s="283"/>
      <c r="C91" s="283"/>
      <c r="D91" s="283"/>
      <c r="E91" s="283"/>
      <c r="F91" s="283"/>
      <c r="G91" s="283"/>
      <c r="H91" s="199"/>
      <c r="I91" s="199"/>
      <c r="J91" s="199"/>
      <c r="K91" s="199"/>
      <c r="L91" s="199"/>
      <c r="M91" s="199"/>
      <c r="N91" s="199"/>
      <c r="O91" s="199"/>
      <c r="P91" s="199"/>
      <c r="Q91" s="199"/>
      <c r="R91" s="199"/>
      <c r="S91" s="199"/>
      <c r="T91" s="199"/>
      <c r="U91" s="199"/>
      <c r="V91" s="199"/>
      <c r="W91" s="199"/>
      <c r="X91" s="199"/>
      <c r="Y91" s="199"/>
      <c r="Z91" s="199"/>
      <c r="AA91" s="199"/>
      <c r="AB91" s="199"/>
      <c r="AC91" s="289" t="s">
        <v>789</v>
      </c>
      <c r="AD91" s="199"/>
      <c r="AE91" s="199"/>
      <c r="AF91" s="199"/>
    </row>
    <row r="92" spans="1:33" ht="9" customHeight="1" x14ac:dyDescent="0.3">
      <c r="A92" s="199"/>
      <c r="B92" s="199"/>
      <c r="C92" s="199"/>
      <c r="D92" s="199"/>
      <c r="E92" s="199"/>
      <c r="F92" s="199"/>
      <c r="G92" s="199"/>
      <c r="H92" s="199"/>
      <c r="I92" s="199"/>
      <c r="J92" s="199"/>
      <c r="K92" s="199"/>
      <c r="L92" s="199"/>
      <c r="M92" s="199"/>
      <c r="N92" s="199"/>
      <c r="O92" s="199"/>
      <c r="P92" s="199"/>
      <c r="Q92" s="199"/>
      <c r="R92" s="199"/>
      <c r="S92" s="199"/>
      <c r="T92" s="199"/>
      <c r="U92" s="199"/>
      <c r="V92" s="199"/>
      <c r="W92" s="199"/>
      <c r="X92" s="199"/>
      <c r="Y92" s="199"/>
      <c r="Z92" s="199"/>
      <c r="AA92" s="199"/>
      <c r="AB92" s="199"/>
      <c r="AC92" s="289" t="s">
        <v>790</v>
      </c>
      <c r="AD92" s="199"/>
      <c r="AE92" s="199"/>
      <c r="AF92" s="199"/>
    </row>
    <row r="93" spans="1:33" ht="9" customHeight="1" x14ac:dyDescent="0.3">
      <c r="A93" s="199"/>
      <c r="B93" s="199"/>
      <c r="C93" s="199"/>
      <c r="D93" s="199"/>
      <c r="E93" s="199"/>
      <c r="F93" s="199"/>
      <c r="G93" s="199"/>
      <c r="H93" s="199"/>
      <c r="I93" s="199"/>
      <c r="J93" s="199"/>
      <c r="K93" s="199"/>
      <c r="L93" s="199"/>
      <c r="M93" s="199"/>
      <c r="N93" s="199"/>
      <c r="O93" s="199"/>
      <c r="P93" s="199"/>
      <c r="Q93" s="199"/>
      <c r="R93" s="199"/>
      <c r="S93" s="199"/>
      <c r="T93" s="199"/>
      <c r="U93" s="199"/>
      <c r="V93" s="199"/>
      <c r="W93" s="199"/>
      <c r="X93" s="199"/>
      <c r="Y93" s="199"/>
      <c r="Z93" s="199"/>
      <c r="AA93" s="199"/>
      <c r="AB93" s="199"/>
      <c r="AC93" s="289" t="s">
        <v>791</v>
      </c>
      <c r="AD93" s="199"/>
      <c r="AE93" s="199"/>
      <c r="AF93" s="199"/>
    </row>
  </sheetData>
  <sheetProtection algorithmName="SHA-512" hashValue="ZtemlFTsifBtAQVIfR157iUb4FNO91+NF7eyBuaBQzsvx3atuBoL+2tog6fmLwnkKRRkcDzXYkhDNWMrE2Jr/Q==" saltValue="t5BOnfkAYXWRLTu7l8oovg==" spinCount="100000" sheet="1" objects="1" scenarios="1" selectLockedCells="1"/>
  <mergeCells count="75">
    <mergeCell ref="F63:G63"/>
    <mergeCell ref="D63:E63"/>
    <mergeCell ref="D82:AA82"/>
    <mergeCell ref="D79:AF79"/>
    <mergeCell ref="T70:U70"/>
    <mergeCell ref="AB82:AF82"/>
    <mergeCell ref="X85:AB85"/>
    <mergeCell ref="T76:V76"/>
    <mergeCell ref="D85:V85"/>
    <mergeCell ref="I67:L67"/>
    <mergeCell ref="I68:L68"/>
    <mergeCell ref="O76:S76"/>
    <mergeCell ref="A40:AF40"/>
    <mergeCell ref="A39:AF39"/>
    <mergeCell ref="A38:AF38"/>
    <mergeCell ref="O37:AF37"/>
    <mergeCell ref="A17:AF17"/>
    <mergeCell ref="AD22:AF22"/>
    <mergeCell ref="AD27:AF27"/>
    <mergeCell ref="B34:I34"/>
    <mergeCell ref="B35:H35"/>
    <mergeCell ref="D87:AF87"/>
    <mergeCell ref="H88:R88"/>
    <mergeCell ref="H89:R89"/>
    <mergeCell ref="AB89:AF90"/>
    <mergeCell ref="AB88:AF88"/>
    <mergeCell ref="S90:U90"/>
    <mergeCell ref="S89:U89"/>
    <mergeCell ref="V89:X89"/>
    <mergeCell ref="V90:X90"/>
    <mergeCell ref="Y89:AA89"/>
    <mergeCell ref="Y90:AA90"/>
    <mergeCell ref="S88:AA88"/>
    <mergeCell ref="A88:G89"/>
    <mergeCell ref="A90:G90"/>
    <mergeCell ref="A55:AF55"/>
    <mergeCell ref="A54:AF54"/>
    <mergeCell ref="A56:AB56"/>
    <mergeCell ref="V62:AD62"/>
    <mergeCell ref="V61:AD61"/>
    <mergeCell ref="K62:P62"/>
    <mergeCell ref="K61:P61"/>
    <mergeCell ref="D61:H61"/>
    <mergeCell ref="D62:H62"/>
    <mergeCell ref="AD56:AF56"/>
    <mergeCell ref="A58:AF58"/>
    <mergeCell ref="A59:AF59"/>
    <mergeCell ref="A53:AF53"/>
    <mergeCell ref="B52:AF52"/>
    <mergeCell ref="K44:N44"/>
    <mergeCell ref="K43:N43"/>
    <mergeCell ref="A41:AC41"/>
    <mergeCell ref="AD41:AF41"/>
    <mergeCell ref="AD47:AF47"/>
    <mergeCell ref="J3:AF3"/>
    <mergeCell ref="J2:AF2"/>
    <mergeCell ref="H9:AF9"/>
    <mergeCell ref="H8:AF8"/>
    <mergeCell ref="H7:AF7"/>
    <mergeCell ref="A8:G8"/>
    <mergeCell ref="A4:I5"/>
    <mergeCell ref="J4:AF4"/>
    <mergeCell ref="A9:D9"/>
    <mergeCell ref="R32:T32"/>
    <mergeCell ref="A22:C22"/>
    <mergeCell ref="Q27:V27"/>
    <mergeCell ref="X27:AC27"/>
    <mergeCell ref="A15:AF15"/>
    <mergeCell ref="AC10:AF11"/>
    <mergeCell ref="H10:AB11"/>
    <mergeCell ref="A14:AF14"/>
    <mergeCell ref="I12:P12"/>
    <mergeCell ref="A12:F12"/>
    <mergeCell ref="A11:F11"/>
    <mergeCell ref="Q13:S13"/>
  </mergeCells>
  <conditionalFormatting sqref="D85:V85">
    <cfRule type="containsBlanks" dxfId="131" priority="1">
      <formula>LEN(TRIM(D85))=0</formula>
    </cfRule>
  </conditionalFormatting>
  <conditionalFormatting sqref="N32:Q32 K37:M37 L47:N47 B52:AF52 E64:G64">
    <cfRule type="containsBlanks" dxfId="130" priority="6">
      <formula>LEN(TRIM(B32))=0</formula>
    </cfRule>
  </conditionalFormatting>
  <conditionalFormatting sqref="O37:AF37">
    <cfRule type="containsBlanks" dxfId="129" priority="5">
      <formula>LEN(TRIM(O37))=0</formula>
    </cfRule>
  </conditionalFormatting>
  <conditionalFormatting sqref="S90:X90">
    <cfRule type="containsBlanks" dxfId="128" priority="7">
      <formula>LEN(TRIM(S90))=0</formula>
    </cfRule>
  </conditionalFormatting>
  <printOptions horizontalCentered="1" verticalCentered="1"/>
  <pageMargins left="0.39370078740157483" right="0.39370078740157483" top="0.31496062992125984" bottom="0.31496062992125984" header="0" footer="0"/>
  <pageSetup scale="77" orientation="portrait" r:id="rId1"/>
  <colBreaks count="1" manualBreakCount="1">
    <brk id="32" max="79" man="1"/>
  </colBreaks>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6E1E0722-BDD4-ED4A-824F-966F4DB0EAAC}">
          <x14:formula1>
            <xm:f>P2002JF!$BI$23:$BI$25</xm:f>
          </x14:formula1>
          <xm:sqref>N32</xm:sqref>
        </x14:dataValidation>
        <x14:dataValidation type="list" allowBlank="1" showInputMessage="1" showErrorMessage="1" xr:uid="{61A603B5-C3A1-9D46-B862-E6FE8634AE13}">
          <x14:formula1>
            <xm:f>P2002JF!$BI$23:$BI$32</xm:f>
          </x14:formula1>
          <xm:sqref>O32 Q32 N47 G64 L37</xm:sqref>
        </x14:dataValidation>
        <x14:dataValidation type="list" allowBlank="1" showInputMessage="1" showErrorMessage="1" xr:uid="{5E655952-B956-8945-BE45-39110BEB6A96}">
          <x14:formula1>
            <xm:f>P2002JF!$BI$23:$BI$28</xm:f>
          </x14:formula1>
          <xm:sqref>P32 M47 F64</xm:sqref>
        </x14:dataValidation>
        <x14:dataValidation type="list" allowBlank="1" showInputMessage="1" showErrorMessage="1" xr:uid="{4E8C04F6-BEC0-E34A-9938-0B730B062BC2}">
          <x14:formula1>
            <xm:f>P2002JF!$BI$23:$BI$27</xm:f>
          </x14:formula1>
          <xm:sqref>L47 E64</xm:sqref>
        </x14:dataValidation>
        <x14:dataValidation type="list" allowBlank="1" showInputMessage="1" showErrorMessage="1" xr:uid="{69A0F1F3-26D0-174B-8C10-86787AA3E830}">
          <x14:formula1>
            <xm:f>P2002JF!$BI$24:$BI$54</xm:f>
          </x14:formula1>
          <xm:sqref>S90:U90</xm:sqref>
        </x14:dataValidation>
        <x14:dataValidation type="list" allowBlank="1" showInputMessage="1" showErrorMessage="1" xr:uid="{6190B8A2-4F4D-1B4F-B776-4943F234C1D6}">
          <x14:formula1>
            <xm:f>P2002JF!$BI$23:$BI$24</xm:f>
          </x14:formula1>
          <xm:sqref>K37</xm:sqref>
        </x14:dataValidation>
        <x14:dataValidation type="list" allowBlank="1" showInputMessage="1" showErrorMessage="1" xr:uid="{615DF4ED-142C-834F-8489-583120FD0C98}">
          <x14:formula1>
            <xm:f>P2002JF!$BI$24:$BI$35</xm:f>
          </x14:formula1>
          <xm:sqref>V90:X90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85188-B8AC-824C-9D4A-5A9CC7CBD0D6}">
  <sheetPr codeName="Hoja3">
    <tabColor theme="9"/>
    <pageSetUpPr fitToPage="1"/>
  </sheetPr>
  <dimension ref="A1:CD75"/>
  <sheetViews>
    <sheetView zoomScale="70" zoomScaleNormal="70" workbookViewId="0">
      <selection activeCell="P6" sqref="P6"/>
    </sheetView>
  </sheetViews>
  <sheetFormatPr baseColWidth="10" defaultColWidth="0" defaultRowHeight="30" customHeight="1" zeroHeight="1" x14ac:dyDescent="0.3"/>
  <cols>
    <col min="1" max="1" width="8" style="13" customWidth="1"/>
    <col min="2" max="3" width="6" style="12" customWidth="1"/>
    <col min="4" max="4" width="22.44140625" style="13" customWidth="1"/>
    <col min="5" max="5" width="90.33203125" style="12" customWidth="1"/>
    <col min="6" max="6" width="2.6640625" style="13" customWidth="1"/>
    <col min="7" max="7" width="33.33203125" style="13" customWidth="1"/>
    <col min="8" max="12" width="16.6640625" style="13" customWidth="1"/>
    <col min="13" max="13" width="16.6640625" style="47" customWidth="1"/>
    <col min="14" max="17" width="16.6640625" style="13" customWidth="1"/>
    <col min="18" max="18" width="8" style="13" customWidth="1"/>
    <col min="19" max="23" width="11.44140625" style="13" hidden="1" customWidth="1"/>
    <col min="24" max="24" width="9.109375" style="13" hidden="1" customWidth="1"/>
    <col min="25" max="25" width="11.44140625" style="12" hidden="1" customWidth="1"/>
    <col min="26" max="32" width="11.44140625" style="13" hidden="1" customWidth="1"/>
    <col min="33" max="33" width="29.44140625" style="13" hidden="1" customWidth="1"/>
    <col min="34" max="34" width="7" style="13" hidden="1" customWidth="1"/>
    <col min="35" max="35" width="30.88671875" style="13" hidden="1" customWidth="1"/>
    <col min="36" max="36" width="7" style="13" hidden="1" customWidth="1"/>
    <col min="37" max="37" width="19.6640625" style="13" hidden="1" customWidth="1"/>
    <col min="38" max="38" width="7" style="13" hidden="1" customWidth="1"/>
    <col min="39" max="39" width="31.6640625" style="13" hidden="1" customWidth="1"/>
    <col min="40" max="40" width="7" style="13" hidden="1" customWidth="1"/>
    <col min="41" max="41" width="26.33203125" style="13" hidden="1" customWidth="1"/>
    <col min="42" max="42" width="7" style="13" hidden="1" customWidth="1"/>
    <col min="43" max="43" width="20.6640625" style="12" hidden="1" customWidth="1"/>
    <col min="44" max="44" width="7" style="13" hidden="1" customWidth="1"/>
    <col min="45" max="45" width="21" style="13" hidden="1" customWidth="1"/>
    <col min="46" max="48" width="7" style="13" hidden="1" customWidth="1"/>
    <col min="49" max="49" width="18.6640625" style="13" hidden="1" customWidth="1"/>
    <col min="50" max="50" width="7" style="12" hidden="1" customWidth="1"/>
    <col min="51" max="51" width="17.6640625" style="13" hidden="1" customWidth="1"/>
    <col min="52" max="52" width="7" style="13" hidden="1" customWidth="1"/>
    <col min="53" max="53" width="21.6640625" style="13" hidden="1" customWidth="1"/>
    <col min="54" max="54" width="7" style="13" hidden="1" customWidth="1"/>
    <col min="55" max="55" width="14.109375" style="13" hidden="1" customWidth="1"/>
    <col min="56" max="56" width="7" style="13" hidden="1" customWidth="1"/>
    <col min="57" max="57" width="13.6640625" style="13" hidden="1" customWidth="1"/>
    <col min="58" max="58" width="7" style="13" hidden="1" customWidth="1"/>
    <col min="59" max="59" width="17.33203125" style="13" hidden="1" customWidth="1"/>
    <col min="60" max="60" width="7" style="13" hidden="1" customWidth="1"/>
    <col min="61" max="61" width="20" style="13" hidden="1" customWidth="1"/>
    <col min="62" max="62" width="7" style="13" hidden="1" customWidth="1"/>
    <col min="63" max="63" width="15.88671875" style="13" hidden="1" customWidth="1"/>
    <col min="64" max="64" width="7" style="13" hidden="1" customWidth="1"/>
    <col min="65" max="65" width="22.33203125" style="13" hidden="1" customWidth="1"/>
    <col min="66" max="66" width="7.44140625" style="13" hidden="1" customWidth="1"/>
    <col min="67" max="67" width="29.44140625" style="13" hidden="1" customWidth="1"/>
    <col min="68" max="68" width="7.44140625" style="13" hidden="1" customWidth="1"/>
    <col min="69" max="69" width="29.88671875" style="13" hidden="1" customWidth="1"/>
    <col min="70" max="70" width="7.44140625" style="13" hidden="1" customWidth="1"/>
    <col min="71" max="81" width="11.44140625" style="13" hidden="1" customWidth="1"/>
    <col min="82" max="82" width="0" style="13" hidden="1" customWidth="1"/>
    <col min="83" max="16384" width="11.44140625" style="13" hidden="1"/>
  </cols>
  <sheetData>
    <row r="1" spans="1:18" ht="30" customHeight="1" x14ac:dyDescent="0.3">
      <c r="A1" s="9"/>
      <c r="B1" s="10"/>
      <c r="C1" s="10"/>
      <c r="D1" s="9"/>
      <c r="E1" s="10"/>
      <c r="F1" s="9"/>
      <c r="G1" s="9"/>
      <c r="H1" s="9"/>
      <c r="I1" s="9"/>
      <c r="J1" s="9"/>
      <c r="K1" s="9"/>
      <c r="L1" s="9"/>
      <c r="M1" s="11"/>
      <c r="N1" s="9"/>
      <c r="O1" s="9"/>
      <c r="P1" s="11"/>
      <c r="Q1" s="9"/>
      <c r="R1" s="9"/>
    </row>
    <row r="2" spans="1:18" ht="30" customHeight="1" x14ac:dyDescent="0.3">
      <c r="A2" s="9"/>
      <c r="B2" s="584"/>
      <c r="C2" s="585"/>
      <c r="D2" s="585"/>
      <c r="E2" s="595" t="s">
        <v>0</v>
      </c>
      <c r="F2" s="596"/>
      <c r="G2" s="596"/>
      <c r="H2" s="596"/>
      <c r="I2" s="596"/>
      <c r="J2" s="596"/>
      <c r="K2" s="596"/>
      <c r="L2" s="596"/>
      <c r="M2" s="596"/>
      <c r="N2" s="596"/>
      <c r="O2" s="597"/>
      <c r="P2" s="581" t="s">
        <v>864</v>
      </c>
      <c r="Q2" s="582"/>
      <c r="R2" s="9"/>
    </row>
    <row r="3" spans="1:18" ht="30" customHeight="1" x14ac:dyDescent="0.3">
      <c r="A3" s="9"/>
      <c r="B3" s="586"/>
      <c r="C3" s="587"/>
      <c r="D3" s="587"/>
      <c r="E3" s="592" t="s">
        <v>403</v>
      </c>
      <c r="F3" s="593"/>
      <c r="G3" s="593"/>
      <c r="H3" s="593"/>
      <c r="I3" s="593"/>
      <c r="J3" s="593"/>
      <c r="K3" s="593"/>
      <c r="L3" s="593"/>
      <c r="M3" s="593"/>
      <c r="N3" s="593"/>
      <c r="O3" s="594"/>
      <c r="P3" s="579" t="s">
        <v>848</v>
      </c>
      <c r="Q3" s="580"/>
      <c r="R3" s="9"/>
    </row>
    <row r="4" spans="1:18" ht="30" customHeight="1" x14ac:dyDescent="0.3">
      <c r="A4" s="9"/>
      <c r="B4" s="586"/>
      <c r="C4" s="587"/>
      <c r="D4" s="587"/>
      <c r="E4" s="590" t="s">
        <v>862</v>
      </c>
      <c r="F4" s="590"/>
      <c r="G4" s="590"/>
      <c r="H4" s="590"/>
      <c r="I4" s="590"/>
      <c r="J4" s="590"/>
      <c r="K4" s="590"/>
      <c r="L4" s="590"/>
      <c r="M4" s="590"/>
      <c r="N4" s="590"/>
      <c r="O4" s="590"/>
      <c r="P4" s="573" t="s">
        <v>947</v>
      </c>
      <c r="Q4" s="574"/>
      <c r="R4" s="9"/>
    </row>
    <row r="5" spans="1:18" ht="30" customHeight="1" x14ac:dyDescent="0.3">
      <c r="A5" s="9"/>
      <c r="B5" s="588"/>
      <c r="C5" s="589"/>
      <c r="D5" s="589"/>
      <c r="E5" s="591"/>
      <c r="F5" s="591"/>
      <c r="G5" s="591"/>
      <c r="H5" s="591"/>
      <c r="I5" s="591"/>
      <c r="J5" s="591"/>
      <c r="K5" s="591"/>
      <c r="L5" s="591"/>
      <c r="M5" s="591"/>
      <c r="N5" s="591"/>
      <c r="O5" s="591"/>
      <c r="P5" s="571" t="s">
        <v>948</v>
      </c>
      <c r="Q5" s="572"/>
      <c r="R5" s="9"/>
    </row>
    <row r="6" spans="1:18" ht="30" customHeight="1" x14ac:dyDescent="0.3">
      <c r="A6" s="9"/>
      <c r="B6" s="10"/>
      <c r="C6" s="10"/>
      <c r="D6" s="10"/>
      <c r="E6" s="59"/>
      <c r="F6" s="59"/>
      <c r="G6" s="59"/>
      <c r="H6" s="59"/>
      <c r="I6" s="59"/>
      <c r="J6" s="59"/>
      <c r="K6" s="59"/>
      <c r="L6" s="59"/>
      <c r="M6" s="59"/>
      <c r="N6" s="59"/>
      <c r="O6" s="59"/>
      <c r="P6" s="60"/>
      <c r="Q6" s="9"/>
      <c r="R6" s="9"/>
    </row>
    <row r="7" spans="1:18" ht="30" customHeight="1" x14ac:dyDescent="0.3">
      <c r="A7" s="9"/>
      <c r="B7" s="583" t="s">
        <v>295</v>
      </c>
      <c r="C7" s="583"/>
      <c r="D7" s="583"/>
      <c r="E7" s="583"/>
      <c r="F7" s="53"/>
      <c r="G7" s="583" t="s">
        <v>341</v>
      </c>
      <c r="H7" s="583"/>
      <c r="I7" s="583"/>
      <c r="J7" s="583"/>
      <c r="K7" s="583"/>
      <c r="L7" s="583"/>
      <c r="M7" s="583"/>
      <c r="N7" s="583"/>
      <c r="O7" s="583"/>
      <c r="P7" s="583"/>
      <c r="Q7" s="583"/>
      <c r="R7" s="9"/>
    </row>
    <row r="8" spans="1:18" ht="30" customHeight="1" x14ac:dyDescent="0.3">
      <c r="A8" s="9"/>
      <c r="B8" s="359">
        <v>1</v>
      </c>
      <c r="C8" s="360"/>
      <c r="D8" s="578" t="s">
        <v>296</v>
      </c>
      <c r="E8" s="578"/>
      <c r="F8" s="53"/>
      <c r="G8" s="46" t="s">
        <v>157</v>
      </c>
      <c r="H8" s="359" t="s">
        <v>331</v>
      </c>
      <c r="I8" s="437"/>
      <c r="J8" s="437"/>
      <c r="K8" s="437"/>
      <c r="L8" s="437"/>
      <c r="M8" s="437"/>
      <c r="N8" s="437"/>
      <c r="O8" s="437"/>
      <c r="P8" s="437"/>
      <c r="Q8" s="360"/>
      <c r="R8" s="9"/>
    </row>
    <row r="9" spans="1:18" ht="30" customHeight="1" x14ac:dyDescent="0.3">
      <c r="A9" s="9"/>
      <c r="B9" s="90"/>
      <c r="C9" s="90"/>
      <c r="D9" s="578" t="s">
        <v>329</v>
      </c>
      <c r="E9" s="578"/>
      <c r="F9" s="53"/>
      <c r="G9" s="100" t="s">
        <v>257</v>
      </c>
      <c r="H9" s="15" t="s">
        <v>181</v>
      </c>
      <c r="I9" s="15" t="s">
        <v>182</v>
      </c>
      <c r="J9" s="91"/>
      <c r="K9" s="91"/>
      <c r="L9" s="91"/>
      <c r="M9" s="91"/>
      <c r="N9" s="91"/>
      <c r="O9" s="91"/>
      <c r="P9" s="89"/>
      <c r="Q9" s="92"/>
      <c r="R9" s="9"/>
    </row>
    <row r="10" spans="1:18" ht="30" customHeight="1" x14ac:dyDescent="0.3">
      <c r="A10" s="9"/>
      <c r="B10" s="90"/>
      <c r="C10" s="90"/>
      <c r="D10" s="578" t="s">
        <v>330</v>
      </c>
      <c r="E10" s="578"/>
      <c r="F10" s="53"/>
      <c r="G10" s="100" t="s">
        <v>163</v>
      </c>
      <c r="H10" s="15" t="s">
        <v>183</v>
      </c>
      <c r="I10" s="15" t="s">
        <v>184</v>
      </c>
      <c r="J10" s="17" t="s">
        <v>185</v>
      </c>
      <c r="K10" s="15" t="s">
        <v>186</v>
      </c>
      <c r="L10" s="91"/>
      <c r="M10" s="91"/>
      <c r="N10" s="91"/>
      <c r="O10" s="91"/>
      <c r="P10" s="89"/>
      <c r="Q10" s="92"/>
      <c r="R10" s="9"/>
    </row>
    <row r="11" spans="1:18" ht="30" customHeight="1" x14ac:dyDescent="0.3">
      <c r="A11" s="9"/>
      <c r="B11" s="359">
        <v>2</v>
      </c>
      <c r="C11" s="360"/>
      <c r="D11" s="578" t="s">
        <v>297</v>
      </c>
      <c r="E11" s="578"/>
      <c r="F11" s="53"/>
      <c r="G11" s="100" t="s">
        <v>164</v>
      </c>
      <c r="H11" s="15" t="s">
        <v>187</v>
      </c>
      <c r="I11" s="17" t="s">
        <v>188</v>
      </c>
      <c r="J11" s="15" t="s">
        <v>189</v>
      </c>
      <c r="K11" s="91"/>
      <c r="L11" s="91"/>
      <c r="M11" s="91"/>
      <c r="N11" s="91"/>
      <c r="O11" s="91"/>
      <c r="P11" s="89"/>
      <c r="Q11" s="92"/>
      <c r="R11" s="9"/>
    </row>
    <row r="12" spans="1:18" ht="30" customHeight="1" x14ac:dyDescent="0.3">
      <c r="A12" s="9"/>
      <c r="B12" s="90"/>
      <c r="C12" s="90"/>
      <c r="D12" s="578" t="s">
        <v>298</v>
      </c>
      <c r="E12" s="578"/>
      <c r="F12" s="53"/>
      <c r="G12" s="46" t="s">
        <v>158</v>
      </c>
      <c r="H12" s="359" t="s">
        <v>331</v>
      </c>
      <c r="I12" s="437"/>
      <c r="J12" s="437"/>
      <c r="K12" s="437"/>
      <c r="L12" s="437"/>
      <c r="M12" s="437"/>
      <c r="N12" s="437"/>
      <c r="O12" s="437"/>
      <c r="P12" s="437"/>
      <c r="Q12" s="360"/>
      <c r="R12" s="9"/>
    </row>
    <row r="13" spans="1:18" ht="30" customHeight="1" x14ac:dyDescent="0.3">
      <c r="A13" s="9"/>
      <c r="B13" s="90"/>
      <c r="C13" s="90"/>
      <c r="D13" s="578" t="s">
        <v>299</v>
      </c>
      <c r="E13" s="578"/>
      <c r="F13" s="53"/>
      <c r="G13" s="100" t="s">
        <v>258</v>
      </c>
      <c r="H13" s="15" t="s">
        <v>198</v>
      </c>
      <c r="I13" s="15" t="s">
        <v>199</v>
      </c>
      <c r="J13" s="15" t="s">
        <v>200</v>
      </c>
      <c r="K13" s="91"/>
      <c r="L13" s="91"/>
      <c r="M13" s="91"/>
      <c r="N13" s="91"/>
      <c r="O13" s="91"/>
      <c r="P13" s="89"/>
      <c r="Q13" s="92"/>
      <c r="R13" s="9"/>
    </row>
    <row r="14" spans="1:18" ht="30" customHeight="1" x14ac:dyDescent="0.3">
      <c r="A14" s="9"/>
      <c r="B14" s="90"/>
      <c r="C14" s="90"/>
      <c r="D14" s="578" t="s">
        <v>300</v>
      </c>
      <c r="E14" s="578"/>
      <c r="F14" s="53"/>
      <c r="G14" s="100" t="s">
        <v>165</v>
      </c>
      <c r="H14" s="15" t="s">
        <v>183</v>
      </c>
      <c r="I14" s="15" t="s">
        <v>184</v>
      </c>
      <c r="J14" s="17" t="s">
        <v>185</v>
      </c>
      <c r="K14" s="15" t="s">
        <v>186</v>
      </c>
      <c r="L14" s="91"/>
      <c r="M14" s="91"/>
      <c r="N14" s="91"/>
      <c r="O14" s="91"/>
      <c r="P14" s="89"/>
      <c r="Q14" s="92"/>
      <c r="R14" s="9"/>
    </row>
    <row r="15" spans="1:18" ht="30" customHeight="1" x14ac:dyDescent="0.3">
      <c r="A15" s="9"/>
      <c r="B15" s="90"/>
      <c r="C15" s="90"/>
      <c r="D15" s="578" t="s">
        <v>301</v>
      </c>
      <c r="E15" s="578"/>
      <c r="F15" s="53"/>
      <c r="G15" s="100" t="s">
        <v>294</v>
      </c>
      <c r="H15" s="16" t="s">
        <v>230</v>
      </c>
      <c r="I15" s="16" t="s">
        <v>229</v>
      </c>
      <c r="J15" s="16" t="s">
        <v>228</v>
      </c>
      <c r="K15" s="16" t="s">
        <v>227</v>
      </c>
      <c r="L15" s="16" t="s">
        <v>226</v>
      </c>
      <c r="M15" s="91"/>
      <c r="N15" s="91"/>
      <c r="O15" s="91"/>
      <c r="P15" s="89"/>
      <c r="Q15" s="92"/>
      <c r="R15" s="9"/>
    </row>
    <row r="16" spans="1:18" ht="30" customHeight="1" x14ac:dyDescent="0.3">
      <c r="A16" s="9"/>
      <c r="B16" s="359">
        <v>3</v>
      </c>
      <c r="C16" s="360"/>
      <c r="D16" s="578" t="s">
        <v>305</v>
      </c>
      <c r="E16" s="578"/>
      <c r="F16" s="53"/>
      <c r="G16" s="100" t="s">
        <v>223</v>
      </c>
      <c r="H16" s="15" t="s">
        <v>190</v>
      </c>
      <c r="I16" s="15" t="s">
        <v>191</v>
      </c>
      <c r="J16" s="15" t="s">
        <v>192</v>
      </c>
      <c r="K16" s="15" t="s">
        <v>193</v>
      </c>
      <c r="L16" s="15" t="s">
        <v>194</v>
      </c>
      <c r="M16" s="91"/>
      <c r="N16" s="91"/>
      <c r="O16" s="91"/>
      <c r="P16" s="89"/>
      <c r="Q16" s="92"/>
      <c r="R16" s="9"/>
    </row>
    <row r="17" spans="1:18" ht="30" customHeight="1" x14ac:dyDescent="0.3">
      <c r="A17" s="9"/>
      <c r="B17" s="90"/>
      <c r="C17" s="90"/>
      <c r="D17" s="578" t="s">
        <v>302</v>
      </c>
      <c r="E17" s="578"/>
      <c r="F17" s="53"/>
      <c r="G17" s="100" t="s">
        <v>224</v>
      </c>
      <c r="H17" s="16" t="s">
        <v>215</v>
      </c>
      <c r="I17" s="16" t="s">
        <v>232</v>
      </c>
      <c r="J17" s="91"/>
      <c r="K17" s="91"/>
      <c r="L17" s="91"/>
      <c r="M17" s="91"/>
      <c r="N17" s="91"/>
      <c r="O17" s="91"/>
      <c r="P17" s="89"/>
      <c r="Q17" s="92"/>
      <c r="R17" s="9"/>
    </row>
    <row r="18" spans="1:18" ht="30" customHeight="1" x14ac:dyDescent="0.3">
      <c r="A18" s="9"/>
      <c r="B18" s="90"/>
      <c r="C18" s="90"/>
      <c r="D18" s="578" t="s">
        <v>303</v>
      </c>
      <c r="E18" s="578"/>
      <c r="F18" s="53"/>
      <c r="G18" s="46" t="s">
        <v>150</v>
      </c>
      <c r="H18" s="359" t="s">
        <v>331</v>
      </c>
      <c r="I18" s="437"/>
      <c r="J18" s="437"/>
      <c r="K18" s="437"/>
      <c r="L18" s="437"/>
      <c r="M18" s="437"/>
      <c r="N18" s="437"/>
      <c r="O18" s="437"/>
      <c r="P18" s="437"/>
      <c r="Q18" s="360"/>
      <c r="R18" s="9"/>
    </row>
    <row r="19" spans="1:18" ht="30" customHeight="1" x14ac:dyDescent="0.3">
      <c r="A19" s="9"/>
      <c r="B19" s="90"/>
      <c r="C19" s="90"/>
      <c r="D19" s="578" t="s">
        <v>306</v>
      </c>
      <c r="E19" s="578"/>
      <c r="F19" s="53"/>
      <c r="G19" s="100" t="s">
        <v>151</v>
      </c>
      <c r="H19" s="16" t="s">
        <v>98</v>
      </c>
      <c r="I19" s="16" t="s">
        <v>107</v>
      </c>
      <c r="J19" s="18" t="s">
        <v>115</v>
      </c>
      <c r="K19" s="16" t="s">
        <v>117</v>
      </c>
      <c r="L19" s="16" t="s">
        <v>119</v>
      </c>
      <c r="M19" s="16" t="s">
        <v>121</v>
      </c>
      <c r="N19" s="16" t="s">
        <v>124</v>
      </c>
      <c r="O19" s="16" t="s">
        <v>126</v>
      </c>
      <c r="P19" s="16" t="s">
        <v>203</v>
      </c>
      <c r="Q19" s="16" t="s">
        <v>116</v>
      </c>
      <c r="R19" s="9"/>
    </row>
    <row r="20" spans="1:18" ht="30" customHeight="1" x14ac:dyDescent="0.3">
      <c r="A20" s="9"/>
      <c r="B20" s="90"/>
      <c r="C20" s="90"/>
      <c r="D20" s="578" t="s">
        <v>304</v>
      </c>
      <c r="E20" s="578"/>
      <c r="F20" s="53"/>
      <c r="G20" s="100" t="s">
        <v>259</v>
      </c>
      <c r="H20" s="16" t="s">
        <v>219</v>
      </c>
      <c r="I20" s="16" t="s">
        <v>220</v>
      </c>
      <c r="J20" s="16" t="s">
        <v>221</v>
      </c>
      <c r="K20" s="16" t="s">
        <v>222</v>
      </c>
      <c r="L20" s="16" t="s">
        <v>190</v>
      </c>
      <c r="M20" s="91"/>
      <c r="N20" s="91"/>
      <c r="O20" s="91"/>
      <c r="P20" s="89"/>
      <c r="Q20" s="92"/>
      <c r="R20" s="9"/>
    </row>
    <row r="21" spans="1:18" ht="30" customHeight="1" x14ac:dyDescent="0.3">
      <c r="A21" s="9"/>
      <c r="B21" s="359">
        <v>4</v>
      </c>
      <c r="C21" s="360"/>
      <c r="D21" s="578" t="s">
        <v>307</v>
      </c>
      <c r="E21" s="578"/>
      <c r="F21" s="53"/>
      <c r="G21" s="100" t="s">
        <v>167</v>
      </c>
      <c r="H21" s="15" t="s">
        <v>215</v>
      </c>
      <c r="I21" s="15" t="s">
        <v>216</v>
      </c>
      <c r="J21" s="15" t="s">
        <v>217</v>
      </c>
      <c r="K21" s="15" t="s">
        <v>218</v>
      </c>
      <c r="L21" s="91"/>
      <c r="M21" s="91"/>
      <c r="N21" s="91"/>
      <c r="O21" s="91"/>
      <c r="P21" s="89"/>
      <c r="Q21" s="92"/>
      <c r="R21" s="9"/>
    </row>
    <row r="22" spans="1:18" ht="30" customHeight="1" x14ac:dyDescent="0.3">
      <c r="A22" s="9"/>
      <c r="B22" s="10"/>
      <c r="C22" s="94" t="s">
        <v>100</v>
      </c>
      <c r="D22" s="578" t="s">
        <v>308</v>
      </c>
      <c r="E22" s="578"/>
      <c r="F22" s="53"/>
      <c r="G22" s="46" t="s">
        <v>156</v>
      </c>
      <c r="H22" s="359" t="s">
        <v>331</v>
      </c>
      <c r="I22" s="437"/>
      <c r="J22" s="437"/>
      <c r="K22" s="437"/>
      <c r="L22" s="437"/>
      <c r="M22" s="437"/>
      <c r="N22" s="437"/>
      <c r="O22" s="437"/>
      <c r="P22" s="437"/>
      <c r="Q22" s="360"/>
      <c r="R22" s="9"/>
    </row>
    <row r="23" spans="1:18" ht="30" customHeight="1" x14ac:dyDescent="0.3">
      <c r="A23" s="9"/>
      <c r="B23" s="10"/>
      <c r="C23" s="95" t="s">
        <v>101</v>
      </c>
      <c r="D23" s="578" t="s">
        <v>309</v>
      </c>
      <c r="E23" s="578"/>
      <c r="F23" s="53"/>
      <c r="G23" s="100" t="s">
        <v>260</v>
      </c>
      <c r="H23" s="15" t="s">
        <v>169</v>
      </c>
      <c r="I23" s="15" t="s">
        <v>170</v>
      </c>
      <c r="J23" s="15" t="s">
        <v>171</v>
      </c>
      <c r="K23" s="16" t="s">
        <v>116</v>
      </c>
      <c r="L23" s="91"/>
      <c r="M23" s="91"/>
      <c r="N23" s="91"/>
      <c r="O23" s="91"/>
      <c r="P23" s="89"/>
      <c r="Q23" s="92"/>
      <c r="R23" s="9"/>
    </row>
    <row r="24" spans="1:18" ht="30" customHeight="1" x14ac:dyDescent="0.3">
      <c r="A24" s="9"/>
      <c r="B24" s="10"/>
      <c r="C24" s="96" t="s">
        <v>116</v>
      </c>
      <c r="D24" s="578" t="s">
        <v>310</v>
      </c>
      <c r="E24" s="578"/>
      <c r="F24" s="53"/>
      <c r="G24" s="100" t="s">
        <v>135</v>
      </c>
      <c r="H24" s="15" t="s">
        <v>172</v>
      </c>
      <c r="I24" s="16" t="s">
        <v>254</v>
      </c>
      <c r="J24" s="16" t="s">
        <v>253</v>
      </c>
      <c r="K24" s="16" t="s">
        <v>116</v>
      </c>
      <c r="L24" s="91"/>
      <c r="M24" s="91"/>
      <c r="N24" s="91"/>
      <c r="O24" s="91"/>
      <c r="P24" s="89"/>
      <c r="Q24" s="92"/>
      <c r="R24" s="9"/>
    </row>
    <row r="25" spans="1:18" ht="30" customHeight="1" x14ac:dyDescent="0.3">
      <c r="A25" s="9"/>
      <c r="B25" s="10"/>
      <c r="C25" s="95" t="s">
        <v>99</v>
      </c>
      <c r="D25" s="578" t="s">
        <v>311</v>
      </c>
      <c r="E25" s="578"/>
      <c r="F25" s="53"/>
      <c r="G25" s="100" t="s">
        <v>233</v>
      </c>
      <c r="H25" s="16" t="s">
        <v>234</v>
      </c>
      <c r="I25" s="16" t="s">
        <v>235</v>
      </c>
      <c r="J25" s="16" t="s">
        <v>236</v>
      </c>
      <c r="K25" s="16" t="s">
        <v>116</v>
      </c>
      <c r="L25" s="91"/>
      <c r="M25" s="91"/>
      <c r="N25" s="91"/>
      <c r="O25" s="91"/>
      <c r="P25" s="89"/>
      <c r="Q25" s="92"/>
      <c r="R25" s="9"/>
    </row>
    <row r="26" spans="1:18" ht="30" customHeight="1" x14ac:dyDescent="0.3">
      <c r="A26" s="9"/>
      <c r="B26" s="10"/>
      <c r="C26" s="94" t="s">
        <v>108</v>
      </c>
      <c r="D26" s="578" t="s">
        <v>312</v>
      </c>
      <c r="E26" s="578"/>
      <c r="F26" s="53"/>
      <c r="G26" s="100" t="s">
        <v>255</v>
      </c>
      <c r="H26" s="16" t="s">
        <v>215</v>
      </c>
      <c r="I26" s="16" t="s">
        <v>232</v>
      </c>
      <c r="J26" s="16" t="s">
        <v>116</v>
      </c>
      <c r="K26" s="91"/>
      <c r="L26" s="91"/>
      <c r="M26" s="91"/>
      <c r="N26" s="91"/>
      <c r="O26" s="91"/>
      <c r="P26" s="89"/>
      <c r="Q26" s="92"/>
      <c r="R26" s="9"/>
    </row>
    <row r="27" spans="1:18" ht="30" customHeight="1" x14ac:dyDescent="0.3">
      <c r="A27" s="9"/>
      <c r="B27" s="10"/>
      <c r="C27" s="96" t="s">
        <v>116</v>
      </c>
      <c r="D27" s="578" t="s">
        <v>313</v>
      </c>
      <c r="E27" s="578"/>
      <c r="F27" s="53"/>
      <c r="G27" s="100" t="s">
        <v>237</v>
      </c>
      <c r="H27" s="16" t="s">
        <v>238</v>
      </c>
      <c r="I27" s="16" t="s">
        <v>240</v>
      </c>
      <c r="J27" s="16" t="s">
        <v>239</v>
      </c>
      <c r="K27" s="16" t="s">
        <v>116</v>
      </c>
      <c r="L27" s="91"/>
      <c r="M27" s="91"/>
      <c r="N27" s="91"/>
      <c r="O27" s="91"/>
      <c r="P27" s="89"/>
      <c r="Q27" s="92"/>
      <c r="R27" s="9"/>
    </row>
    <row r="28" spans="1:18" ht="30" customHeight="1" x14ac:dyDescent="0.3">
      <c r="A28" s="9"/>
      <c r="B28" s="10"/>
      <c r="C28" s="14" t="s">
        <v>314</v>
      </c>
      <c r="D28" s="578" t="s">
        <v>315</v>
      </c>
      <c r="E28" s="578"/>
      <c r="F28" s="53"/>
      <c r="G28" s="100" t="s">
        <v>168</v>
      </c>
      <c r="H28" s="15">
        <v>1</v>
      </c>
      <c r="I28" s="15">
        <v>2</v>
      </c>
      <c r="J28" s="15">
        <v>3</v>
      </c>
      <c r="K28" s="15">
        <v>4</v>
      </c>
      <c r="L28" s="15">
        <v>5</v>
      </c>
      <c r="M28" s="16" t="s">
        <v>116</v>
      </c>
      <c r="N28" s="91"/>
      <c r="O28" s="91"/>
      <c r="P28" s="89"/>
      <c r="Q28" s="92"/>
      <c r="R28" s="9"/>
    </row>
    <row r="29" spans="1:18" ht="30" customHeight="1" x14ac:dyDescent="0.3">
      <c r="A29" s="9"/>
      <c r="B29" s="10"/>
      <c r="C29" s="14" t="s">
        <v>314</v>
      </c>
      <c r="D29" s="578" t="s">
        <v>317</v>
      </c>
      <c r="E29" s="578"/>
      <c r="F29" s="53"/>
      <c r="G29" s="100" t="s">
        <v>251</v>
      </c>
      <c r="H29" s="16" t="s">
        <v>248</v>
      </c>
      <c r="I29" s="16" t="s">
        <v>249</v>
      </c>
      <c r="J29" s="16" t="s">
        <v>250</v>
      </c>
      <c r="K29" s="16" t="s">
        <v>116</v>
      </c>
      <c r="L29" s="91"/>
      <c r="M29" s="91"/>
      <c r="N29" s="91"/>
      <c r="O29" s="91"/>
      <c r="P29" s="89"/>
      <c r="Q29" s="92"/>
      <c r="R29" s="9"/>
    </row>
    <row r="30" spans="1:18" ht="30" customHeight="1" x14ac:dyDescent="0.3">
      <c r="A30" s="9"/>
      <c r="B30" s="10"/>
      <c r="C30" s="14" t="s">
        <v>314</v>
      </c>
      <c r="D30" s="578" t="s">
        <v>316</v>
      </c>
      <c r="E30" s="578"/>
      <c r="F30" s="53"/>
      <c r="G30" s="101" t="s">
        <v>251</v>
      </c>
      <c r="H30" s="88" t="s">
        <v>246</v>
      </c>
      <c r="I30" s="88" t="s">
        <v>245</v>
      </c>
      <c r="J30" s="88" t="s">
        <v>247</v>
      </c>
      <c r="K30" s="88" t="s">
        <v>116</v>
      </c>
      <c r="L30" s="97"/>
      <c r="M30" s="97"/>
      <c r="N30" s="97"/>
      <c r="O30" s="97"/>
      <c r="P30" s="98"/>
      <c r="Q30" s="99"/>
      <c r="R30" s="9"/>
    </row>
    <row r="31" spans="1:18" ht="30" customHeight="1" x14ac:dyDescent="0.3">
      <c r="A31" s="9"/>
      <c r="B31" s="10"/>
      <c r="C31" s="14" t="s">
        <v>318</v>
      </c>
      <c r="D31" s="578" t="s">
        <v>392</v>
      </c>
      <c r="E31" s="578"/>
      <c r="F31" s="53"/>
      <c r="G31" s="577" t="s">
        <v>338</v>
      </c>
      <c r="H31" s="577"/>
      <c r="I31" s="577"/>
      <c r="J31" s="577"/>
      <c r="K31" s="577"/>
      <c r="L31" s="577"/>
      <c r="M31" s="577"/>
      <c r="N31" s="577"/>
      <c r="O31" s="577"/>
      <c r="P31" s="577"/>
      <c r="Q31" s="577"/>
      <c r="R31" s="9"/>
    </row>
    <row r="32" spans="1:18" ht="30" customHeight="1" x14ac:dyDescent="0.3">
      <c r="A32" s="9"/>
      <c r="B32" s="10"/>
      <c r="C32" s="14" t="s">
        <v>319</v>
      </c>
      <c r="D32" s="578" t="s">
        <v>322</v>
      </c>
      <c r="E32" s="578"/>
      <c r="F32" s="53"/>
      <c r="G32" s="577" t="s">
        <v>339</v>
      </c>
      <c r="H32" s="577"/>
      <c r="I32" s="577"/>
      <c r="J32" s="577"/>
      <c r="K32" s="577"/>
      <c r="L32" s="577"/>
      <c r="M32" s="577"/>
      <c r="N32" s="577"/>
      <c r="O32" s="577"/>
      <c r="P32" s="577"/>
      <c r="Q32" s="577"/>
      <c r="R32" s="9"/>
    </row>
    <row r="33" spans="1:70" ht="30" customHeight="1" x14ac:dyDescent="0.3">
      <c r="A33" s="9"/>
      <c r="B33" s="10"/>
      <c r="C33" s="14" t="s">
        <v>320</v>
      </c>
      <c r="D33" s="578" t="s">
        <v>321</v>
      </c>
      <c r="E33" s="578"/>
      <c r="F33" s="53"/>
      <c r="G33" s="576" t="s">
        <v>332</v>
      </c>
      <c r="H33" s="576"/>
      <c r="I33" s="576"/>
      <c r="J33" s="576"/>
      <c r="K33" s="576"/>
      <c r="L33" s="576"/>
      <c r="M33" s="576"/>
      <c r="N33" s="576"/>
      <c r="O33" s="576"/>
      <c r="P33" s="576"/>
      <c r="Q33" s="576"/>
      <c r="R33" s="9"/>
    </row>
    <row r="34" spans="1:70" ht="30" customHeight="1" x14ac:dyDescent="0.3">
      <c r="A34" s="9"/>
      <c r="B34" s="359">
        <v>5</v>
      </c>
      <c r="C34" s="360"/>
      <c r="D34" s="93" t="s">
        <v>328</v>
      </c>
      <c r="E34" s="93"/>
      <c r="F34" s="53"/>
      <c r="G34" s="576" t="s">
        <v>333</v>
      </c>
      <c r="H34" s="576"/>
      <c r="I34" s="576"/>
      <c r="J34" s="576"/>
      <c r="K34" s="576"/>
      <c r="L34" s="576"/>
      <c r="M34" s="576"/>
      <c r="N34" s="576"/>
      <c r="O34" s="576"/>
      <c r="P34" s="576"/>
      <c r="Q34" s="576"/>
      <c r="R34" s="9"/>
    </row>
    <row r="35" spans="1:70" ht="30" customHeight="1" x14ac:dyDescent="0.3">
      <c r="A35" s="9"/>
      <c r="B35" s="90"/>
      <c r="C35" s="90"/>
      <c r="D35" s="578" t="s">
        <v>323</v>
      </c>
      <c r="E35" s="578"/>
      <c r="F35" s="53"/>
      <c r="G35" s="576" t="s">
        <v>334</v>
      </c>
      <c r="H35" s="576"/>
      <c r="I35" s="576"/>
      <c r="J35" s="576"/>
      <c r="K35" s="576"/>
      <c r="L35" s="576"/>
      <c r="M35" s="576"/>
      <c r="N35" s="576"/>
      <c r="O35" s="576"/>
      <c r="P35" s="576"/>
      <c r="Q35" s="576"/>
      <c r="R35" s="9"/>
    </row>
    <row r="36" spans="1:70" ht="30" customHeight="1" x14ac:dyDescent="0.3">
      <c r="A36" s="9"/>
      <c r="B36" s="90"/>
      <c r="C36" s="90"/>
      <c r="D36" s="578" t="s">
        <v>324</v>
      </c>
      <c r="E36" s="578"/>
      <c r="F36" s="53"/>
      <c r="G36" s="575" t="s">
        <v>335</v>
      </c>
      <c r="H36" s="575"/>
      <c r="I36" s="575"/>
      <c r="J36" s="575"/>
      <c r="K36" s="575"/>
      <c r="L36" s="575"/>
      <c r="M36" s="575"/>
      <c r="N36" s="575"/>
      <c r="O36" s="575"/>
      <c r="P36" s="575"/>
      <c r="Q36" s="575"/>
      <c r="R36" s="9"/>
    </row>
    <row r="37" spans="1:70" ht="30" customHeight="1" x14ac:dyDescent="0.3">
      <c r="A37" s="9"/>
      <c r="B37" s="90"/>
      <c r="C37" s="90"/>
      <c r="D37" s="578" t="s">
        <v>326</v>
      </c>
      <c r="E37" s="578"/>
      <c r="F37" s="53"/>
      <c r="G37" s="568" t="s">
        <v>337</v>
      </c>
      <c r="H37" s="569"/>
      <c r="I37" s="569"/>
      <c r="J37" s="569"/>
      <c r="K37" s="569"/>
      <c r="L37" s="569"/>
      <c r="M37" s="569"/>
      <c r="N37" s="569"/>
      <c r="O37" s="569"/>
      <c r="P37" s="569"/>
      <c r="Q37" s="570"/>
      <c r="R37" s="9"/>
    </row>
    <row r="38" spans="1:70" ht="30" customHeight="1" x14ac:dyDescent="0.3">
      <c r="A38" s="9"/>
      <c r="B38" s="90"/>
      <c r="C38" s="90"/>
      <c r="D38" s="578" t="s">
        <v>327</v>
      </c>
      <c r="E38" s="578"/>
      <c r="F38" s="53"/>
      <c r="G38" s="568" t="s">
        <v>336</v>
      </c>
      <c r="H38" s="569"/>
      <c r="I38" s="569"/>
      <c r="J38" s="569"/>
      <c r="K38" s="569"/>
      <c r="L38" s="569"/>
      <c r="M38" s="569"/>
      <c r="N38" s="569"/>
      <c r="O38" s="569"/>
      <c r="P38" s="569"/>
      <c r="Q38" s="570"/>
      <c r="R38" s="9"/>
    </row>
    <row r="39" spans="1:70" ht="30" customHeight="1" x14ac:dyDescent="0.3">
      <c r="A39" s="9"/>
      <c r="B39" s="90"/>
      <c r="C39" s="90"/>
      <c r="D39" s="578" t="s">
        <v>325</v>
      </c>
      <c r="E39" s="578"/>
      <c r="F39" s="53"/>
      <c r="G39" s="565" t="s">
        <v>340</v>
      </c>
      <c r="H39" s="566"/>
      <c r="I39" s="566"/>
      <c r="J39" s="566"/>
      <c r="K39" s="566"/>
      <c r="L39" s="566"/>
      <c r="M39" s="566"/>
      <c r="N39" s="566"/>
      <c r="O39" s="566"/>
      <c r="P39" s="566"/>
      <c r="Q39" s="567"/>
      <c r="R39" s="9"/>
    </row>
    <row r="40" spans="1:70" ht="30" customHeight="1" x14ac:dyDescent="0.3">
      <c r="A40" s="9"/>
      <c r="B40" s="10"/>
      <c r="C40" s="10"/>
      <c r="D40" s="9"/>
      <c r="E40" s="10"/>
      <c r="F40" s="9"/>
      <c r="G40" s="9"/>
      <c r="H40" s="9"/>
      <c r="I40" s="9"/>
      <c r="J40" s="9"/>
      <c r="K40" s="9"/>
      <c r="L40" s="9"/>
      <c r="M40" s="9"/>
      <c r="N40" s="9"/>
      <c r="O40" s="9"/>
      <c r="P40" s="9"/>
      <c r="Q40" s="9"/>
      <c r="R40" s="9"/>
    </row>
    <row r="41" spans="1:70" ht="30" hidden="1" customHeight="1" x14ac:dyDescent="0.3">
      <c r="Y41" s="13"/>
      <c r="AI41" s="12"/>
      <c r="AK41" s="12"/>
      <c r="AM41" s="12"/>
      <c r="AO41" s="12"/>
      <c r="AS41" s="12"/>
      <c r="AW41" s="12"/>
      <c r="AY41" s="12"/>
      <c r="BA41" s="12"/>
      <c r="BC41" s="12"/>
      <c r="BE41" s="12"/>
      <c r="BG41" s="12"/>
      <c r="BI41" s="12"/>
      <c r="BK41" s="12"/>
      <c r="BM41" s="12"/>
      <c r="BN41" s="12"/>
      <c r="BO41" s="12"/>
      <c r="BP41" s="12"/>
      <c r="BQ41" s="12"/>
      <c r="BR41" s="12"/>
    </row>
    <row r="42" spans="1:70" ht="30" hidden="1" customHeight="1" x14ac:dyDescent="0.3">
      <c r="Y42" s="13"/>
    </row>
    <row r="43" spans="1:70" ht="30" hidden="1" customHeight="1" x14ac:dyDescent="0.3">
      <c r="Y43" s="13"/>
      <c r="AI43" s="12"/>
      <c r="AK43" s="12"/>
      <c r="AM43" s="12"/>
      <c r="AO43" s="12"/>
      <c r="AS43" s="12"/>
      <c r="AW43" s="12"/>
      <c r="AY43" s="12"/>
      <c r="BA43" s="12"/>
      <c r="BC43" s="12"/>
      <c r="BE43" s="12"/>
      <c r="BG43" s="12"/>
      <c r="BI43" s="12"/>
      <c r="BK43" s="12"/>
      <c r="BM43" s="12"/>
      <c r="BN43" s="12"/>
      <c r="BO43" s="12"/>
      <c r="BP43" s="12"/>
      <c r="BQ43" s="12"/>
      <c r="BR43" s="12"/>
    </row>
    <row r="44" spans="1:70" ht="30" hidden="1" customHeight="1" x14ac:dyDescent="0.3">
      <c r="Y44" s="13"/>
      <c r="AI44" s="12"/>
      <c r="AK44" s="12"/>
      <c r="AM44" s="12"/>
      <c r="AO44" s="12"/>
      <c r="AS44" s="12"/>
      <c r="AW44" s="12"/>
      <c r="AY44" s="12"/>
      <c r="BA44" s="12"/>
      <c r="BC44" s="12"/>
      <c r="BE44" s="12"/>
      <c r="BG44" s="12"/>
      <c r="BI44" s="12"/>
      <c r="BK44" s="12"/>
      <c r="BM44" s="12"/>
      <c r="BN44" s="12"/>
      <c r="BO44" s="12"/>
      <c r="BP44" s="12"/>
      <c r="BQ44" s="12"/>
      <c r="BR44" s="12"/>
    </row>
    <row r="45" spans="1:70" ht="30" hidden="1" customHeight="1" x14ac:dyDescent="0.3">
      <c r="Y45" s="13"/>
      <c r="AI45" s="12"/>
      <c r="AK45" s="12"/>
      <c r="AM45" s="12"/>
      <c r="AO45" s="12"/>
      <c r="AS45" s="12"/>
      <c r="AW45" s="12"/>
      <c r="AY45" s="12"/>
      <c r="BA45" s="12"/>
      <c r="BC45" s="12"/>
      <c r="BE45" s="12"/>
      <c r="BG45" s="12"/>
      <c r="BI45" s="12"/>
      <c r="BK45" s="12"/>
      <c r="BM45" s="12"/>
      <c r="BN45" s="12"/>
      <c r="BO45" s="12"/>
      <c r="BP45" s="12"/>
      <c r="BQ45" s="12"/>
      <c r="BR45" s="12"/>
    </row>
    <row r="46" spans="1:70" ht="30" hidden="1" customHeight="1" x14ac:dyDescent="0.3">
      <c r="Y46" s="13"/>
      <c r="AI46" s="12"/>
      <c r="AK46" s="12"/>
      <c r="AM46" s="12"/>
      <c r="AO46" s="12"/>
      <c r="AS46" s="12"/>
      <c r="AW46" s="12"/>
      <c r="AY46" s="12"/>
      <c r="BA46" s="12"/>
      <c r="BC46" s="12"/>
      <c r="BE46" s="12"/>
      <c r="BG46" s="12"/>
      <c r="BI46" s="12"/>
      <c r="BK46" s="12"/>
      <c r="BM46" s="12"/>
      <c r="BN46" s="12"/>
      <c r="BO46" s="12"/>
      <c r="BP46" s="12"/>
      <c r="BQ46" s="12"/>
      <c r="BR46" s="12"/>
    </row>
    <row r="47" spans="1:70" ht="30" hidden="1" customHeight="1" x14ac:dyDescent="0.3">
      <c r="Y47" s="13"/>
      <c r="AI47" s="12"/>
      <c r="AK47" s="12"/>
      <c r="AM47" s="12"/>
      <c r="AO47" s="12"/>
      <c r="AS47" s="12"/>
      <c r="AW47" s="12"/>
      <c r="AY47" s="12"/>
      <c r="BA47" s="12"/>
      <c r="BC47" s="12"/>
      <c r="BE47" s="12"/>
      <c r="BG47" s="12"/>
      <c r="BI47" s="12"/>
      <c r="BK47" s="12"/>
      <c r="BM47" s="12"/>
      <c r="BN47" s="12"/>
      <c r="BO47" s="12"/>
      <c r="BP47" s="12"/>
      <c r="BQ47" s="12"/>
      <c r="BR47" s="12"/>
    </row>
    <row r="48" spans="1:70" ht="30" hidden="1" customHeight="1" x14ac:dyDescent="0.3">
      <c r="Y48" s="13"/>
      <c r="AI48" s="12"/>
      <c r="AK48" s="12"/>
      <c r="AM48" s="12"/>
      <c r="AO48" s="12"/>
      <c r="AS48" s="12"/>
      <c r="AW48" s="12"/>
      <c r="AY48" s="12"/>
      <c r="BA48" s="12"/>
      <c r="BC48" s="12"/>
      <c r="BE48" s="12"/>
      <c r="BG48" s="12"/>
      <c r="BI48" s="12"/>
      <c r="BK48" s="12"/>
      <c r="BM48" s="12"/>
      <c r="BN48" s="12"/>
      <c r="BO48" s="12"/>
      <c r="BP48" s="12"/>
      <c r="BQ48" s="12"/>
      <c r="BR48" s="12"/>
    </row>
    <row r="49" spans="25:70" ht="30" hidden="1" customHeight="1" x14ac:dyDescent="0.3">
      <c r="Y49" s="13"/>
      <c r="AI49" s="12"/>
      <c r="AK49" s="12"/>
      <c r="AM49" s="12"/>
      <c r="AO49" s="12"/>
      <c r="AS49" s="12"/>
      <c r="AW49" s="12"/>
      <c r="AY49" s="12"/>
      <c r="BA49" s="12"/>
      <c r="BC49" s="12"/>
      <c r="BE49" s="12"/>
      <c r="BG49" s="12"/>
      <c r="BI49" s="12"/>
      <c r="BK49" s="12"/>
      <c r="BM49" s="12"/>
      <c r="BN49" s="12"/>
      <c r="BO49" s="12"/>
      <c r="BP49" s="12"/>
      <c r="BQ49" s="12"/>
      <c r="BR49" s="12"/>
    </row>
    <row r="50" spans="25:70" ht="30" hidden="1" customHeight="1" x14ac:dyDescent="0.3">
      <c r="Y50" s="13"/>
      <c r="AI50" s="12"/>
      <c r="AK50" s="12"/>
      <c r="AM50" s="12"/>
      <c r="AO50" s="12"/>
      <c r="AS50" s="12"/>
      <c r="AW50" s="12"/>
      <c r="AY50" s="12"/>
      <c r="BA50" s="12"/>
      <c r="BC50" s="12"/>
      <c r="BE50" s="12"/>
      <c r="BG50" s="12"/>
      <c r="BI50" s="12"/>
      <c r="BK50" s="12"/>
      <c r="BM50" s="12"/>
      <c r="BN50" s="12"/>
      <c r="BO50" s="12"/>
      <c r="BP50" s="12"/>
      <c r="BQ50" s="12"/>
      <c r="BR50" s="12"/>
    </row>
    <row r="51" spans="25:70" ht="30" hidden="1" customHeight="1" x14ac:dyDescent="0.3">
      <c r="Y51" s="13"/>
      <c r="AI51" s="12"/>
      <c r="AK51" s="12"/>
      <c r="AM51" s="12"/>
      <c r="AO51" s="12"/>
      <c r="AS51" s="12"/>
      <c r="AW51" s="12"/>
      <c r="AY51" s="12"/>
      <c r="BA51" s="12"/>
      <c r="BC51" s="12"/>
      <c r="BE51" s="12"/>
      <c r="BG51" s="12"/>
      <c r="BI51" s="12"/>
      <c r="BK51" s="12"/>
      <c r="BM51" s="12"/>
      <c r="BN51" s="12"/>
      <c r="BO51" s="12"/>
      <c r="BP51" s="12"/>
      <c r="BQ51" s="12"/>
      <c r="BR51" s="12"/>
    </row>
    <row r="52" spans="25:70" ht="30" hidden="1" customHeight="1" x14ac:dyDescent="0.3">
      <c r="Y52" s="13"/>
      <c r="AI52" s="12"/>
      <c r="AK52" s="12"/>
      <c r="AM52" s="12"/>
      <c r="AO52" s="12"/>
      <c r="AS52" s="12"/>
      <c r="AW52" s="12"/>
      <c r="AY52" s="12"/>
      <c r="BA52" s="12"/>
      <c r="BC52" s="12"/>
      <c r="BE52" s="12"/>
      <c r="BG52" s="12"/>
      <c r="BI52" s="12"/>
      <c r="BK52" s="12"/>
      <c r="BM52" s="12"/>
      <c r="BN52" s="12"/>
      <c r="BO52" s="12"/>
      <c r="BP52" s="12"/>
      <c r="BQ52" s="12"/>
      <c r="BR52" s="12"/>
    </row>
    <row r="53" spans="25:70" ht="30" hidden="1" customHeight="1" x14ac:dyDescent="0.3">
      <c r="Y53" s="13"/>
      <c r="AI53" s="12"/>
      <c r="AK53" s="12"/>
      <c r="AM53" s="12"/>
      <c r="AO53" s="12"/>
      <c r="AS53" s="12"/>
      <c r="AW53" s="12"/>
      <c r="AY53" s="12"/>
      <c r="BA53" s="12"/>
      <c r="BC53" s="12"/>
      <c r="BE53" s="12"/>
      <c r="BG53" s="12"/>
      <c r="BI53" s="12"/>
      <c r="BK53" s="12"/>
      <c r="BM53" s="12"/>
      <c r="BN53" s="12"/>
      <c r="BO53" s="12"/>
      <c r="BP53" s="12"/>
      <c r="BQ53" s="12"/>
      <c r="BR53" s="12"/>
    </row>
    <row r="54" spans="25:70" ht="30" hidden="1" customHeight="1" x14ac:dyDescent="0.3">
      <c r="Y54" s="13"/>
      <c r="AI54" s="12"/>
      <c r="AK54" s="12"/>
      <c r="AM54" s="12"/>
      <c r="AO54" s="12"/>
      <c r="AS54" s="12"/>
      <c r="AW54" s="12"/>
      <c r="AY54" s="12"/>
      <c r="BA54" s="12"/>
      <c r="BC54" s="12"/>
      <c r="BE54" s="12"/>
      <c r="BG54" s="12"/>
      <c r="BI54" s="12"/>
      <c r="BK54" s="12"/>
      <c r="BM54" s="12"/>
      <c r="BN54" s="12"/>
      <c r="BO54" s="12"/>
      <c r="BP54" s="12"/>
      <c r="BQ54" s="12"/>
      <c r="BR54" s="12"/>
    </row>
    <row r="55" spans="25:70" ht="30" hidden="1" customHeight="1" x14ac:dyDescent="0.3">
      <c r="Y55" s="13"/>
      <c r="AI55" s="12"/>
      <c r="AK55" s="12"/>
      <c r="AM55" s="12"/>
      <c r="AO55" s="12"/>
      <c r="AS55" s="12"/>
      <c r="AW55" s="12"/>
      <c r="AY55" s="12"/>
      <c r="BA55" s="12"/>
      <c r="BC55" s="12"/>
      <c r="BE55" s="12"/>
      <c r="BG55" s="12"/>
      <c r="BI55" s="12"/>
      <c r="BK55" s="12"/>
      <c r="BM55" s="12"/>
      <c r="BN55" s="12"/>
      <c r="BO55" s="12"/>
      <c r="BP55" s="12"/>
      <c r="BQ55" s="12"/>
      <c r="BR55" s="12"/>
    </row>
    <row r="56" spans="25:70" ht="30" hidden="1" customHeight="1" x14ac:dyDescent="0.3">
      <c r="Y56" s="13"/>
      <c r="AI56" s="12"/>
      <c r="AK56" s="12"/>
      <c r="AM56" s="12"/>
      <c r="AO56" s="12"/>
      <c r="AS56" s="12"/>
      <c r="AW56" s="12"/>
      <c r="AY56" s="12"/>
      <c r="BA56" s="12"/>
      <c r="BC56" s="12"/>
      <c r="BE56" s="12"/>
      <c r="BG56" s="12"/>
      <c r="BI56" s="12"/>
      <c r="BK56" s="12"/>
      <c r="BM56" s="12"/>
      <c r="BN56" s="12"/>
      <c r="BO56" s="12"/>
      <c r="BP56" s="12"/>
      <c r="BQ56" s="12"/>
      <c r="BR56" s="12"/>
    </row>
    <row r="57" spans="25:70" ht="30" hidden="1" customHeight="1" x14ac:dyDescent="0.3">
      <c r="Y57" s="13"/>
    </row>
    <row r="58" spans="25:70" ht="30" hidden="1" customHeight="1" x14ac:dyDescent="0.3">
      <c r="Y58" s="13"/>
    </row>
    <row r="59" spans="25:70" ht="30" hidden="1" customHeight="1" x14ac:dyDescent="0.3">
      <c r="Y59" s="13"/>
    </row>
    <row r="60" spans="25:70" ht="30" hidden="1" customHeight="1" x14ac:dyDescent="0.3">
      <c r="Y60" s="13"/>
    </row>
    <row r="61" spans="25:70" ht="30" hidden="1" customHeight="1" x14ac:dyDescent="0.3">
      <c r="Y61" s="13"/>
    </row>
    <row r="62" spans="25:70" ht="30" hidden="1" customHeight="1" x14ac:dyDescent="0.3">
      <c r="Y62" s="13"/>
    </row>
    <row r="63" spans="25:70" ht="30" hidden="1" customHeight="1" x14ac:dyDescent="0.3">
      <c r="Y63" s="13"/>
    </row>
    <row r="64" spans="25:70" ht="30" hidden="1" customHeight="1" x14ac:dyDescent="0.3">
      <c r="Y64" s="13"/>
    </row>
    <row r="65" spans="25:25" ht="30" hidden="1" customHeight="1" x14ac:dyDescent="0.3">
      <c r="Y65" s="13"/>
    </row>
    <row r="66" spans="25:25" ht="30" hidden="1" customHeight="1" x14ac:dyDescent="0.3">
      <c r="Y66" s="13"/>
    </row>
    <row r="67" spans="25:25" ht="30" hidden="1" customHeight="1" x14ac:dyDescent="0.3">
      <c r="Y67" s="13"/>
    </row>
    <row r="68" spans="25:25" ht="30" hidden="1" customHeight="1" x14ac:dyDescent="0.3">
      <c r="Y68" s="13"/>
    </row>
    <row r="69" spans="25:25" ht="30" hidden="1" customHeight="1" x14ac:dyDescent="0.3">
      <c r="Y69" s="13"/>
    </row>
    <row r="70" spans="25:25" ht="30" hidden="1" customHeight="1" x14ac:dyDescent="0.3">
      <c r="Y70" s="13"/>
    </row>
    <row r="71" spans="25:25" ht="30" hidden="1" customHeight="1" x14ac:dyDescent="0.3">
      <c r="Y71" s="13"/>
    </row>
    <row r="72" spans="25:25" ht="30" hidden="1" customHeight="1" x14ac:dyDescent="0.3">
      <c r="Y72" s="13"/>
    </row>
    <row r="73" spans="25:25" ht="30" hidden="1" customHeight="1" x14ac:dyDescent="0.3">
      <c r="Y73" s="13"/>
    </row>
    <row r="74" spans="25:25" ht="30" hidden="1" customHeight="1" x14ac:dyDescent="0.3">
      <c r="Y74" s="13"/>
    </row>
    <row r="75" spans="25:25" ht="30" hidden="1" customHeight="1" x14ac:dyDescent="0.3">
      <c r="Y75" s="13"/>
    </row>
  </sheetData>
  <sheetProtection algorithmName="SHA-512" hashValue="4NTfPiwQMW4AMRzteoKsofr2pCk3GeiR0ZHpY8kwB/DnZja9gxcuEtPbp34tFKlZK1dv8b2FCKDHRIxkeCSszg==" saltValue="krjfaL7nS73svIYCinmbHQ==" spinCount="100000" sheet="1" objects="1" scenarios="1" selectLockedCells="1" selectUnlockedCells="1"/>
  <mergeCells count="59">
    <mergeCell ref="B7:E7"/>
    <mergeCell ref="D12:E12"/>
    <mergeCell ref="D13:E13"/>
    <mergeCell ref="D17:E17"/>
    <mergeCell ref="D18:E18"/>
    <mergeCell ref="D14:E14"/>
    <mergeCell ref="D15:E15"/>
    <mergeCell ref="D8:E8"/>
    <mergeCell ref="D9:E9"/>
    <mergeCell ref="D10:E10"/>
    <mergeCell ref="D11:E11"/>
    <mergeCell ref="D16:E16"/>
    <mergeCell ref="D39:E39"/>
    <mergeCell ref="D22:E22"/>
    <mergeCell ref="D23:E23"/>
    <mergeCell ref="D24:E24"/>
    <mergeCell ref="D25:E25"/>
    <mergeCell ref="D26:E26"/>
    <mergeCell ref="D27:E27"/>
    <mergeCell ref="D35:E35"/>
    <mergeCell ref="D37:E37"/>
    <mergeCell ref="D36:E36"/>
    <mergeCell ref="D38:E38"/>
    <mergeCell ref="D28:E28"/>
    <mergeCell ref="D33:E33"/>
    <mergeCell ref="D32:E32"/>
    <mergeCell ref="D29:E29"/>
    <mergeCell ref="D30:E30"/>
    <mergeCell ref="B34:C34"/>
    <mergeCell ref="B21:C21"/>
    <mergeCell ref="B16:C16"/>
    <mergeCell ref="B11:C11"/>
    <mergeCell ref="B8:C8"/>
    <mergeCell ref="D19:E19"/>
    <mergeCell ref="P3:Q3"/>
    <mergeCell ref="P2:Q2"/>
    <mergeCell ref="G7:Q7"/>
    <mergeCell ref="G31:Q31"/>
    <mergeCell ref="H22:Q22"/>
    <mergeCell ref="H18:Q18"/>
    <mergeCell ref="H12:Q12"/>
    <mergeCell ref="H8:Q8"/>
    <mergeCell ref="D20:E20"/>
    <mergeCell ref="D21:E21"/>
    <mergeCell ref="D31:E31"/>
    <mergeCell ref="B2:D5"/>
    <mergeCell ref="E4:O5"/>
    <mergeCell ref="E3:O3"/>
    <mergeCell ref="E2:O2"/>
    <mergeCell ref="G39:Q39"/>
    <mergeCell ref="G38:Q38"/>
    <mergeCell ref="G37:Q37"/>
    <mergeCell ref="P5:Q5"/>
    <mergeCell ref="P4:Q4"/>
    <mergeCell ref="G36:Q36"/>
    <mergeCell ref="G35:Q35"/>
    <mergeCell ref="G34:Q34"/>
    <mergeCell ref="G33:Q33"/>
    <mergeCell ref="G32:Q32"/>
  </mergeCells>
  <conditionalFormatting sqref="C25">
    <cfRule type="containsText" dxfId="127" priority="25" operator="containsText" text="SI">
      <formula>NOT(ISERROR(SEARCH("SI",C25)))</formula>
    </cfRule>
  </conditionalFormatting>
  <conditionalFormatting sqref="C26">
    <cfRule type="containsText" dxfId="126" priority="24" operator="containsText" text="NO">
      <formula>NOT(ISERROR(SEARCH("NO",C26)))</formula>
    </cfRule>
  </conditionalFormatting>
  <printOptions horizontalCentered="1" verticalCentered="1"/>
  <pageMargins left="0.19685039370078741" right="0.19685039370078741" top="0.39370078740157483" bottom="0.39370078740157483" header="0" footer="0"/>
  <pageSetup scale="3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CB9EA-A49D-1148-BCED-C28DBFF036C1}">
  <sheetPr codeName="Hoja4">
    <tabColor theme="0" tint="-0.499984740745262"/>
    <pageSetUpPr fitToPage="1"/>
  </sheetPr>
  <dimension ref="A1:CL78"/>
  <sheetViews>
    <sheetView zoomScale="70" zoomScaleNormal="70" zoomScalePageLayoutView="69" workbookViewId="0">
      <selection activeCell="R6" sqref="R6"/>
    </sheetView>
  </sheetViews>
  <sheetFormatPr baseColWidth="10" defaultColWidth="0" defaultRowHeight="30" customHeight="1" zeroHeight="1" x14ac:dyDescent="0.3"/>
  <cols>
    <col min="1" max="1" width="10.88671875" style="13" customWidth="1"/>
    <col min="2" max="2" width="5.88671875" style="13" customWidth="1"/>
    <col min="3" max="3" width="22.44140625" style="13" customWidth="1"/>
    <col min="4" max="4" width="5.88671875" style="13" customWidth="1"/>
    <col min="5" max="5" width="22.44140625" style="13" customWidth="1"/>
    <col min="6" max="6" width="5.88671875" style="13" customWidth="1"/>
    <col min="7" max="7" width="22.44140625" style="13" customWidth="1"/>
    <col min="8" max="8" width="5.88671875" style="13" customWidth="1"/>
    <col min="9" max="9" width="22.44140625" style="13" customWidth="1"/>
    <col min="10" max="10" width="2.44140625" style="13" customWidth="1"/>
    <col min="11" max="11" width="33.88671875" style="13" customWidth="1"/>
    <col min="12" max="13" width="11.88671875" style="12" customWidth="1"/>
    <col min="14" max="14" width="2.44140625" style="13" customWidth="1"/>
    <col min="15" max="15" width="26.44140625" style="47" customWidth="1"/>
    <col min="16" max="18" width="26.44140625" style="13" customWidth="1"/>
    <col min="19" max="19" width="10.88671875" style="13" customWidth="1"/>
    <col min="20" max="25" width="11.44140625" style="12" hidden="1" customWidth="1"/>
    <col min="26" max="28" width="14.109375" style="13" hidden="1" customWidth="1"/>
    <col min="29" max="34" width="11.44140625" style="13" hidden="1" customWidth="1"/>
    <col min="35" max="36" width="28" style="13" hidden="1" customWidth="1"/>
    <col min="37" max="37" width="20.88671875" style="13" hidden="1" customWidth="1"/>
    <col min="38" max="16384" width="11.44140625" style="13" hidden="1"/>
  </cols>
  <sheetData>
    <row r="1" spans="1:24" ht="30" customHeight="1" x14ac:dyDescent="0.3">
      <c r="A1" s="9"/>
      <c r="B1" s="9"/>
      <c r="C1" s="9"/>
      <c r="D1" s="9"/>
      <c r="E1" s="9"/>
      <c r="F1" s="9"/>
      <c r="G1" s="9"/>
      <c r="H1" s="9"/>
      <c r="I1" s="9"/>
      <c r="J1" s="9"/>
      <c r="K1" s="9"/>
      <c r="L1" s="10"/>
      <c r="M1" s="10"/>
      <c r="N1" s="9"/>
      <c r="O1" s="11"/>
      <c r="P1" s="9"/>
      <c r="Q1" s="9"/>
      <c r="R1" s="11"/>
      <c r="S1" s="9"/>
    </row>
    <row r="2" spans="1:24" ht="30" customHeight="1" x14ac:dyDescent="0.3">
      <c r="A2" s="9"/>
      <c r="B2" s="347"/>
      <c r="C2" s="598"/>
      <c r="D2" s="329" t="s">
        <v>0</v>
      </c>
      <c r="E2" s="330"/>
      <c r="F2" s="330"/>
      <c r="G2" s="330"/>
      <c r="H2" s="330"/>
      <c r="I2" s="330"/>
      <c r="J2" s="330"/>
      <c r="K2" s="330"/>
      <c r="L2" s="330"/>
      <c r="M2" s="330"/>
      <c r="N2" s="330"/>
      <c r="O2" s="330"/>
      <c r="P2" s="330"/>
      <c r="Q2" s="331"/>
      <c r="R2" s="290" t="s">
        <v>864</v>
      </c>
      <c r="S2" s="9"/>
    </row>
    <row r="3" spans="1:24" ht="30" customHeight="1" x14ac:dyDescent="0.3">
      <c r="A3" s="9"/>
      <c r="B3" s="354"/>
      <c r="C3" s="599"/>
      <c r="D3" s="332" t="s">
        <v>403</v>
      </c>
      <c r="E3" s="333"/>
      <c r="F3" s="333"/>
      <c r="G3" s="333"/>
      <c r="H3" s="333"/>
      <c r="I3" s="333"/>
      <c r="J3" s="333"/>
      <c r="K3" s="333"/>
      <c r="L3" s="333"/>
      <c r="M3" s="333"/>
      <c r="N3" s="333"/>
      <c r="O3" s="333"/>
      <c r="P3" s="333"/>
      <c r="Q3" s="334"/>
      <c r="R3" s="291" t="s">
        <v>848</v>
      </c>
      <c r="S3" s="9"/>
    </row>
    <row r="4" spans="1:24" ht="30" customHeight="1" x14ac:dyDescent="0.3">
      <c r="A4" s="9"/>
      <c r="B4" s="354"/>
      <c r="C4" s="599"/>
      <c r="D4" s="601" t="s">
        <v>862</v>
      </c>
      <c r="E4" s="602"/>
      <c r="F4" s="602"/>
      <c r="G4" s="602"/>
      <c r="H4" s="602"/>
      <c r="I4" s="602"/>
      <c r="J4" s="602"/>
      <c r="K4" s="602"/>
      <c r="L4" s="602"/>
      <c r="M4" s="602"/>
      <c r="N4" s="602"/>
      <c r="O4" s="602"/>
      <c r="P4" s="602"/>
      <c r="Q4" s="603"/>
      <c r="R4" s="292" t="s">
        <v>947</v>
      </c>
      <c r="S4" s="9"/>
    </row>
    <row r="5" spans="1:24" ht="30" customHeight="1" x14ac:dyDescent="0.3">
      <c r="A5" s="9"/>
      <c r="B5" s="349"/>
      <c r="C5" s="600"/>
      <c r="D5" s="604"/>
      <c r="E5" s="479"/>
      <c r="F5" s="479"/>
      <c r="G5" s="479"/>
      <c r="H5" s="479"/>
      <c r="I5" s="479"/>
      <c r="J5" s="479"/>
      <c r="K5" s="479"/>
      <c r="L5" s="479"/>
      <c r="M5" s="479"/>
      <c r="N5" s="479"/>
      <c r="O5" s="479"/>
      <c r="P5" s="479"/>
      <c r="Q5" s="605"/>
      <c r="R5" s="293" t="s">
        <v>948</v>
      </c>
      <c r="S5" s="9"/>
    </row>
    <row r="6" spans="1:24" ht="30" customHeight="1" x14ac:dyDescent="0.3">
      <c r="A6" s="9"/>
      <c r="B6" s="9"/>
      <c r="C6" s="9"/>
      <c r="D6" s="9"/>
      <c r="E6" s="9"/>
      <c r="F6" s="9"/>
      <c r="G6" s="9"/>
      <c r="H6" s="9"/>
      <c r="I6" s="9"/>
      <c r="J6" s="9"/>
      <c r="K6" s="9"/>
      <c r="L6" s="10"/>
      <c r="M6" s="10"/>
      <c r="N6" s="9"/>
      <c r="O6" s="11"/>
      <c r="P6" s="9"/>
      <c r="Q6" s="9"/>
      <c r="R6" s="9"/>
      <c r="S6" s="9"/>
    </row>
    <row r="7" spans="1:24" ht="30" customHeight="1" x14ac:dyDescent="0.3">
      <c r="A7" s="9"/>
      <c r="B7" s="338" t="s">
        <v>1</v>
      </c>
      <c r="C7" s="338"/>
      <c r="D7" s="338"/>
      <c r="E7" s="338"/>
      <c r="F7" s="338"/>
      <c r="G7" s="338"/>
      <c r="H7" s="338"/>
      <c r="I7" s="338"/>
      <c r="J7" s="338"/>
      <c r="K7" s="338"/>
      <c r="L7" s="338"/>
      <c r="M7" s="338"/>
      <c r="N7" s="338"/>
      <c r="O7" s="338"/>
      <c r="P7" s="338"/>
      <c r="Q7" s="338"/>
      <c r="R7" s="338"/>
      <c r="S7" s="9"/>
      <c r="T7" s="459" t="s">
        <v>3</v>
      </c>
      <c r="U7" s="460"/>
      <c r="V7" s="19" t="s">
        <v>4</v>
      </c>
      <c r="W7" s="19"/>
    </row>
    <row r="8" spans="1:24" ht="30" customHeight="1" x14ac:dyDescent="0.3">
      <c r="A8" s="9"/>
      <c r="B8" s="382" t="s">
        <v>5</v>
      </c>
      <c r="C8" s="382"/>
      <c r="D8" s="607"/>
      <c r="E8" s="607"/>
      <c r="F8" s="382" t="s">
        <v>13</v>
      </c>
      <c r="G8" s="382"/>
      <c r="H8" s="606"/>
      <c r="I8" s="606"/>
      <c r="J8" s="50"/>
      <c r="K8" s="23" t="s">
        <v>16</v>
      </c>
      <c r="L8" s="606"/>
      <c r="M8" s="606"/>
      <c r="N8" s="50"/>
      <c r="O8" s="21" t="s">
        <v>6</v>
      </c>
      <c r="P8" s="20" t="s">
        <v>7</v>
      </c>
      <c r="Q8" s="21" t="s">
        <v>8</v>
      </c>
      <c r="R8" s="20"/>
      <c r="S8" s="9"/>
      <c r="T8" s="19" t="s">
        <v>11</v>
      </c>
      <c r="U8" s="19" t="s">
        <v>12</v>
      </c>
      <c r="V8" s="19" t="s">
        <v>11</v>
      </c>
      <c r="W8" s="19" t="s">
        <v>12</v>
      </c>
    </row>
    <row r="9" spans="1:24" ht="30" customHeight="1" x14ac:dyDescent="0.3">
      <c r="A9" s="9"/>
      <c r="B9" s="385" t="s">
        <v>928</v>
      </c>
      <c r="C9" s="385"/>
      <c r="D9" s="606"/>
      <c r="E9" s="606"/>
      <c r="F9" s="382" t="s">
        <v>14</v>
      </c>
      <c r="G9" s="382"/>
      <c r="H9" s="606"/>
      <c r="I9" s="606"/>
      <c r="J9" s="51"/>
      <c r="K9" s="23" t="s">
        <v>17</v>
      </c>
      <c r="L9" s="606"/>
      <c r="M9" s="606"/>
      <c r="N9" s="51"/>
      <c r="O9" s="24" t="s">
        <v>15</v>
      </c>
      <c r="P9" s="368"/>
      <c r="Q9" s="368"/>
      <c r="R9" s="368"/>
      <c r="S9" s="9"/>
      <c r="T9" s="16">
        <v>35</v>
      </c>
      <c r="U9" s="16">
        <v>1500</v>
      </c>
      <c r="V9" s="16">
        <v>35</v>
      </c>
      <c r="W9" s="16">
        <v>1500</v>
      </c>
    </row>
    <row r="10" spans="1:24" ht="30" customHeight="1" x14ac:dyDescent="0.3">
      <c r="A10" s="9"/>
      <c r="B10" s="367" t="s">
        <v>19</v>
      </c>
      <c r="C10" s="367"/>
      <c r="D10" s="367"/>
      <c r="E10" s="367"/>
      <c r="F10" s="367"/>
      <c r="G10" s="367"/>
      <c r="H10" s="367"/>
      <c r="I10" s="367"/>
      <c r="J10" s="52"/>
      <c r="K10" s="346" t="s">
        <v>397</v>
      </c>
      <c r="L10" s="346"/>
      <c r="M10" s="346"/>
      <c r="N10" s="52"/>
      <c r="O10" s="26" t="s">
        <v>20</v>
      </c>
      <c r="P10" s="26" t="s">
        <v>21</v>
      </c>
      <c r="Q10" s="26" t="s">
        <v>930</v>
      </c>
      <c r="R10" s="26" t="s">
        <v>23</v>
      </c>
      <c r="S10" s="9"/>
      <c r="T10" s="16">
        <v>35</v>
      </c>
      <c r="U10" s="16">
        <v>1950</v>
      </c>
      <c r="V10" s="16">
        <v>35</v>
      </c>
      <c r="W10" s="16">
        <v>1950</v>
      </c>
    </row>
    <row r="11" spans="1:24" ht="30" customHeight="1" x14ac:dyDescent="0.3">
      <c r="A11" s="9"/>
      <c r="B11" s="344" t="s">
        <v>24</v>
      </c>
      <c r="C11" s="344"/>
      <c r="D11" s="344"/>
      <c r="E11" s="344"/>
      <c r="F11" s="344" t="s">
        <v>25</v>
      </c>
      <c r="G11" s="344"/>
      <c r="H11" s="344" t="s">
        <v>26</v>
      </c>
      <c r="I11" s="344"/>
      <c r="J11" s="53"/>
      <c r="K11" s="25" t="s">
        <v>157</v>
      </c>
      <c r="L11" s="22" t="s">
        <v>13</v>
      </c>
      <c r="M11" s="22" t="s">
        <v>14</v>
      </c>
      <c r="N11" s="53"/>
      <c r="O11" s="27" t="s">
        <v>27</v>
      </c>
      <c r="P11" s="28"/>
      <c r="Q11" s="29"/>
      <c r="R11" s="30"/>
      <c r="S11" s="9"/>
      <c r="T11" s="16">
        <v>41</v>
      </c>
      <c r="U11" s="16">
        <v>2550</v>
      </c>
      <c r="V11" s="16">
        <v>37.5</v>
      </c>
      <c r="W11" s="16">
        <v>2200</v>
      </c>
    </row>
    <row r="12" spans="1:24" ht="30" customHeight="1" x14ac:dyDescent="0.3">
      <c r="A12" s="9"/>
      <c r="B12" s="31"/>
      <c r="C12" s="32" t="s">
        <v>30</v>
      </c>
      <c r="D12" s="31"/>
      <c r="E12" s="32" t="s">
        <v>31</v>
      </c>
      <c r="F12" s="31"/>
      <c r="G12" s="32" t="s">
        <v>32</v>
      </c>
      <c r="H12" s="31"/>
      <c r="I12" s="32" t="s">
        <v>32</v>
      </c>
      <c r="J12" s="54"/>
      <c r="K12" s="33" t="s">
        <v>257</v>
      </c>
      <c r="L12" s="16"/>
      <c r="M12" s="16"/>
      <c r="N12" s="54"/>
      <c r="O12" s="27" t="s">
        <v>934</v>
      </c>
      <c r="P12" s="30"/>
      <c r="Q12" s="34">
        <v>37</v>
      </c>
      <c r="R12" s="30"/>
      <c r="S12" s="9"/>
      <c r="T12" s="16">
        <v>47.3</v>
      </c>
      <c r="U12" s="16">
        <v>2550</v>
      </c>
      <c r="V12" s="16">
        <v>40.5</v>
      </c>
      <c r="W12" s="16">
        <v>2200</v>
      </c>
    </row>
    <row r="13" spans="1:24" ht="30" customHeight="1" x14ac:dyDescent="0.3">
      <c r="A13" s="9"/>
      <c r="B13" s="31"/>
      <c r="C13" s="32" t="s">
        <v>33</v>
      </c>
      <c r="D13" s="31"/>
      <c r="E13" s="32" t="s">
        <v>34</v>
      </c>
      <c r="F13" s="31"/>
      <c r="G13" s="32" t="s">
        <v>35</v>
      </c>
      <c r="H13" s="31"/>
      <c r="I13" s="32" t="s">
        <v>35</v>
      </c>
      <c r="J13" s="54"/>
      <c r="K13" s="33" t="s">
        <v>163</v>
      </c>
      <c r="L13" s="16"/>
      <c r="M13" s="16"/>
      <c r="N13" s="54"/>
      <c r="O13" s="27" t="s">
        <v>933</v>
      </c>
      <c r="P13" s="30"/>
      <c r="Q13" s="34">
        <v>37</v>
      </c>
      <c r="R13" s="30"/>
      <c r="S13" s="9"/>
      <c r="T13" s="16">
        <v>47.3</v>
      </c>
      <c r="U13" s="16">
        <v>1500</v>
      </c>
      <c r="V13" s="16">
        <v>40.5</v>
      </c>
      <c r="W13" s="16">
        <v>1500</v>
      </c>
    </row>
    <row r="14" spans="1:24" ht="30" customHeight="1" x14ac:dyDescent="0.3">
      <c r="A14" s="9"/>
      <c r="B14" s="31"/>
      <c r="C14" s="32" t="s">
        <v>36</v>
      </c>
      <c r="D14" s="31"/>
      <c r="E14" s="32" t="s">
        <v>125</v>
      </c>
      <c r="F14" s="31"/>
      <c r="G14" s="32" t="s">
        <v>37</v>
      </c>
      <c r="H14" s="31"/>
      <c r="I14" s="32" t="s">
        <v>37</v>
      </c>
      <c r="J14" s="54"/>
      <c r="K14" s="33" t="s">
        <v>164</v>
      </c>
      <c r="L14" s="16"/>
      <c r="M14" s="16"/>
      <c r="N14" s="54"/>
      <c r="O14" s="27" t="s">
        <v>941</v>
      </c>
      <c r="P14" s="30"/>
      <c r="Q14" s="34">
        <v>73</v>
      </c>
      <c r="R14" s="30"/>
      <c r="S14" s="9"/>
    </row>
    <row r="15" spans="1:24" ht="30" customHeight="1" x14ac:dyDescent="0.3">
      <c r="A15" s="9"/>
      <c r="B15" s="367" t="s">
        <v>161</v>
      </c>
      <c r="C15" s="367"/>
      <c r="D15" s="367"/>
      <c r="E15" s="367"/>
      <c r="F15" s="367"/>
      <c r="G15" s="367"/>
      <c r="H15" s="367"/>
      <c r="I15" s="367"/>
      <c r="J15" s="52"/>
      <c r="K15" s="398" t="s">
        <v>158</v>
      </c>
      <c r="L15" s="399"/>
      <c r="M15" s="400"/>
      <c r="N15" s="52"/>
      <c r="O15" s="27" t="s">
        <v>40</v>
      </c>
      <c r="P15" s="30"/>
      <c r="Q15" s="34">
        <v>48</v>
      </c>
      <c r="R15" s="30"/>
      <c r="S15" s="9"/>
      <c r="T15" s="13"/>
      <c r="U15" s="13"/>
      <c r="W15" s="13"/>
      <c r="X15" s="13"/>
    </row>
    <row r="16" spans="1:24" ht="30" customHeight="1" x14ac:dyDescent="0.3">
      <c r="A16" s="9"/>
      <c r="B16" s="382" t="s">
        <v>44</v>
      </c>
      <c r="C16" s="382"/>
      <c r="D16" s="344" t="s">
        <v>45</v>
      </c>
      <c r="E16" s="344"/>
      <c r="F16" s="344" t="s">
        <v>46</v>
      </c>
      <c r="G16" s="344"/>
      <c r="H16" s="344" t="s">
        <v>47</v>
      </c>
      <c r="I16" s="344"/>
      <c r="J16" s="53"/>
      <c r="K16" s="33" t="s">
        <v>258</v>
      </c>
      <c r="L16" s="342"/>
      <c r="M16" s="343"/>
      <c r="N16" s="53"/>
      <c r="O16" s="27" t="s">
        <v>48</v>
      </c>
      <c r="P16" s="30"/>
      <c r="Q16" s="34">
        <v>95</v>
      </c>
      <c r="R16" s="30"/>
      <c r="S16" s="9"/>
    </row>
    <row r="17" spans="1:90" s="12" customFormat="1" ht="30" customHeight="1" x14ac:dyDescent="0.3">
      <c r="A17" s="9"/>
      <c r="B17" s="31"/>
      <c r="C17" s="32" t="s">
        <v>50</v>
      </c>
      <c r="D17" s="31"/>
      <c r="E17" s="32" t="s">
        <v>50</v>
      </c>
      <c r="F17" s="31"/>
      <c r="G17" s="32" t="s">
        <v>50</v>
      </c>
      <c r="H17" s="31"/>
      <c r="I17" s="32" t="s">
        <v>51</v>
      </c>
      <c r="J17" s="54"/>
      <c r="K17" s="33" t="s">
        <v>165</v>
      </c>
      <c r="L17" s="342"/>
      <c r="M17" s="343"/>
      <c r="N17" s="54"/>
      <c r="O17" s="27" t="s">
        <v>52</v>
      </c>
      <c r="P17" s="28"/>
      <c r="Q17" s="34">
        <v>123</v>
      </c>
      <c r="R17" s="30"/>
      <c r="S17" s="9"/>
      <c r="T17" s="86"/>
      <c r="U17" s="86"/>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13"/>
      <c r="CL17" s="13"/>
    </row>
    <row r="18" spans="1:90" s="12" customFormat="1" ht="30" customHeight="1" x14ac:dyDescent="0.3">
      <c r="A18" s="9"/>
      <c r="B18" s="31"/>
      <c r="C18" s="32" t="s">
        <v>54</v>
      </c>
      <c r="D18" s="31"/>
      <c r="E18" s="32" t="s">
        <v>54</v>
      </c>
      <c r="F18" s="31"/>
      <c r="G18" s="32" t="s">
        <v>54</v>
      </c>
      <c r="H18" s="31"/>
      <c r="I18" s="32" t="s">
        <v>55</v>
      </c>
      <c r="J18" s="54"/>
      <c r="K18" s="33" t="s">
        <v>290</v>
      </c>
      <c r="L18" s="342"/>
      <c r="M18" s="343"/>
      <c r="N18" s="54"/>
      <c r="O18" s="35" t="s">
        <v>56</v>
      </c>
      <c r="P18" s="36"/>
      <c r="Q18" s="37"/>
      <c r="R18" s="30"/>
      <c r="S18" s="9"/>
      <c r="T18" s="86"/>
      <c r="U18" s="86"/>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row>
    <row r="19" spans="1:90" s="12" customFormat="1" ht="30" customHeight="1" x14ac:dyDescent="0.3">
      <c r="A19" s="9"/>
      <c r="B19" s="31"/>
      <c r="C19" s="32" t="s">
        <v>61</v>
      </c>
      <c r="D19" s="31"/>
      <c r="E19" s="32" t="s">
        <v>61</v>
      </c>
      <c r="F19" s="31"/>
      <c r="G19" s="32" t="s">
        <v>61</v>
      </c>
      <c r="H19" s="31"/>
      <c r="I19" s="38" t="s">
        <v>62</v>
      </c>
      <c r="J19" s="55"/>
      <c r="K19" s="33" t="s">
        <v>223</v>
      </c>
      <c r="L19" s="342"/>
      <c r="M19" s="343"/>
      <c r="N19" s="55"/>
      <c r="O19" s="27" t="s">
        <v>63</v>
      </c>
      <c r="P19" s="30"/>
      <c r="Q19" s="34">
        <v>48</v>
      </c>
      <c r="R19" s="30"/>
      <c r="S19" s="9"/>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row>
    <row r="20" spans="1:90" s="12" customFormat="1" ht="30" customHeight="1" x14ac:dyDescent="0.3">
      <c r="A20" s="9"/>
      <c r="B20" s="31"/>
      <c r="C20" s="32" t="s">
        <v>66</v>
      </c>
      <c r="D20" s="31"/>
      <c r="E20" s="32" t="s">
        <v>66</v>
      </c>
      <c r="F20" s="31"/>
      <c r="G20" s="32" t="s">
        <v>66</v>
      </c>
      <c r="H20" s="31"/>
      <c r="I20" s="32" t="s">
        <v>66</v>
      </c>
      <c r="J20" s="54"/>
      <c r="K20" s="33" t="s">
        <v>932</v>
      </c>
      <c r="L20" s="342"/>
      <c r="M20" s="343"/>
      <c r="N20" s="54"/>
      <c r="O20" s="35" t="s">
        <v>67</v>
      </c>
      <c r="P20" s="36"/>
      <c r="Q20" s="37"/>
      <c r="R20" s="30"/>
      <c r="S20" s="9"/>
      <c r="T20" s="85"/>
      <c r="U20" s="85"/>
      <c r="V20" s="85"/>
      <c r="W20" s="85"/>
      <c r="Y20" s="85"/>
      <c r="Z20" s="85"/>
      <c r="AA20" s="85"/>
      <c r="AB20" s="85"/>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row>
    <row r="21" spans="1:90" s="12" customFormat="1" ht="30" customHeight="1" x14ac:dyDescent="0.3">
      <c r="A21" s="9"/>
      <c r="B21" s="367" t="s">
        <v>69</v>
      </c>
      <c r="C21" s="367"/>
      <c r="D21" s="367"/>
      <c r="E21" s="367"/>
      <c r="F21" s="367" t="s">
        <v>70</v>
      </c>
      <c r="G21" s="367"/>
      <c r="H21" s="367"/>
      <c r="I21" s="367"/>
      <c r="J21" s="52"/>
      <c r="K21" s="398" t="s">
        <v>150</v>
      </c>
      <c r="L21" s="399"/>
      <c r="M21" s="400"/>
      <c r="N21" s="52"/>
      <c r="O21" s="338" t="s">
        <v>71</v>
      </c>
      <c r="P21" s="338"/>
      <c r="Q21" s="338"/>
      <c r="R21" s="338"/>
      <c r="S21" s="9"/>
      <c r="T21" s="85"/>
      <c r="U21" s="85"/>
      <c r="V21" s="85"/>
      <c r="W21" s="85"/>
      <c r="Y21" s="85"/>
      <c r="Z21" s="85"/>
      <c r="AA21" s="85"/>
      <c r="AB21" s="85"/>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c r="CK21" s="13"/>
      <c r="CL21" s="13"/>
    </row>
    <row r="22" spans="1:90" s="12" customFormat="1" ht="30" customHeight="1" x14ac:dyDescent="0.3">
      <c r="A22" s="9"/>
      <c r="B22" s="344" t="s">
        <v>73</v>
      </c>
      <c r="C22" s="344"/>
      <c r="D22" s="344"/>
      <c r="E22" s="344"/>
      <c r="F22" s="344" t="s">
        <v>74</v>
      </c>
      <c r="G22" s="344"/>
      <c r="H22" s="344" t="s">
        <v>75</v>
      </c>
      <c r="I22" s="344"/>
      <c r="J22" s="53"/>
      <c r="K22" s="33" t="s">
        <v>936</v>
      </c>
      <c r="L22" s="342"/>
      <c r="M22" s="343"/>
      <c r="N22" s="53"/>
      <c r="O22" s="39" t="s">
        <v>76</v>
      </c>
      <c r="P22" s="36"/>
      <c r="Q22" s="28" t="s">
        <v>77</v>
      </c>
      <c r="R22" s="36"/>
      <c r="S22" s="9"/>
      <c r="T22" s="85"/>
      <c r="U22" s="85"/>
      <c r="V22" s="85"/>
      <c r="W22" s="85"/>
      <c r="Y22" s="85"/>
      <c r="Z22" s="85"/>
      <c r="AA22" s="85"/>
      <c r="AB22" s="85"/>
      <c r="AC22" s="13"/>
      <c r="AD22" s="85"/>
      <c r="AE22" s="85"/>
      <c r="AF22" s="85"/>
      <c r="AG22" s="85"/>
      <c r="AH22" s="13"/>
      <c r="AI22" s="13"/>
      <c r="AJ22" s="13"/>
      <c r="AK22" s="13"/>
      <c r="AL22" s="13"/>
      <c r="AM22" s="13"/>
      <c r="AN22" s="13"/>
      <c r="AO22" s="13"/>
      <c r="AP22" s="13"/>
      <c r="AQ22" s="13"/>
      <c r="AR22" s="13"/>
      <c r="AS22" s="13"/>
      <c r="AT22" s="13"/>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c r="BY22" s="13"/>
      <c r="BZ22" s="13"/>
      <c r="CA22" s="13"/>
      <c r="CB22" s="13"/>
      <c r="CC22" s="13"/>
      <c r="CD22" s="13"/>
      <c r="CE22" s="13"/>
      <c r="CF22" s="13"/>
      <c r="CG22" s="13"/>
      <c r="CH22" s="13"/>
      <c r="CI22" s="13"/>
      <c r="CJ22" s="13"/>
      <c r="CK22" s="13"/>
      <c r="CL22" s="13"/>
    </row>
    <row r="23" spans="1:90" s="12" customFormat="1" ht="30" customHeight="1" x14ac:dyDescent="0.3">
      <c r="A23" s="9"/>
      <c r="B23" s="31"/>
      <c r="C23" s="32" t="s">
        <v>79</v>
      </c>
      <c r="D23" s="87"/>
      <c r="E23" s="32" t="s">
        <v>931</v>
      </c>
      <c r="F23" s="49"/>
      <c r="G23" s="40" t="s">
        <v>80</v>
      </c>
      <c r="H23" s="31"/>
      <c r="I23" s="32" t="s">
        <v>81</v>
      </c>
      <c r="J23" s="54"/>
      <c r="K23" s="33" t="s">
        <v>259</v>
      </c>
      <c r="L23" s="342"/>
      <c r="M23" s="343"/>
      <c r="N23" s="54"/>
      <c r="O23" s="338" t="s">
        <v>82</v>
      </c>
      <c r="P23" s="338"/>
      <c r="Q23" s="338"/>
      <c r="R23" s="338"/>
      <c r="S23" s="9"/>
      <c r="T23" s="85"/>
      <c r="U23" s="85"/>
      <c r="V23" s="85"/>
      <c r="W23" s="85"/>
      <c r="X23" s="41"/>
      <c r="Y23" s="85"/>
      <c r="Z23" s="85"/>
      <c r="AA23" s="85"/>
      <c r="AB23" s="85"/>
      <c r="AC23" s="13"/>
      <c r="AD23" s="85"/>
      <c r="AE23" s="85"/>
      <c r="AF23" s="85"/>
      <c r="AG23" s="85"/>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c r="CC23" s="13"/>
      <c r="CD23" s="13"/>
      <c r="CE23" s="13"/>
      <c r="CF23" s="13"/>
      <c r="CG23" s="13"/>
      <c r="CH23" s="13"/>
      <c r="CI23" s="13"/>
      <c r="CJ23" s="13"/>
      <c r="CK23" s="13"/>
      <c r="CL23" s="13"/>
    </row>
    <row r="24" spans="1:90" s="12" customFormat="1" ht="30" customHeight="1" x14ac:dyDescent="0.3">
      <c r="A24" s="9"/>
      <c r="B24" s="31"/>
      <c r="C24" s="32" t="s">
        <v>83</v>
      </c>
      <c r="D24" s="87"/>
      <c r="E24" s="32" t="s">
        <v>931</v>
      </c>
      <c r="F24" s="31"/>
      <c r="G24" s="40" t="s">
        <v>84</v>
      </c>
      <c r="H24" s="31"/>
      <c r="I24" s="32" t="str">
        <f>IF(B29=V26,"Pre-vuelo Supervisor","Pre-vuelo Instructor")</f>
        <v>Pre-vuelo Supervisor</v>
      </c>
      <c r="J24" s="54"/>
      <c r="K24" s="33" t="s">
        <v>167</v>
      </c>
      <c r="L24" s="342"/>
      <c r="M24" s="343"/>
      <c r="N24" s="54"/>
      <c r="O24" s="609">
        <f>Y15</f>
        <v>0</v>
      </c>
      <c r="P24" s="610"/>
      <c r="Q24" s="610"/>
      <c r="R24" s="611"/>
      <c r="S24" s="9"/>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c r="CI24" s="13"/>
      <c r="CJ24" s="13"/>
      <c r="CK24" s="13"/>
      <c r="CL24" s="13"/>
    </row>
    <row r="25" spans="1:90" s="12" customFormat="1" ht="30" customHeight="1" x14ac:dyDescent="0.3">
      <c r="A25" s="9"/>
      <c r="B25" s="31"/>
      <c r="C25" s="32" t="s">
        <v>92</v>
      </c>
      <c r="D25" s="31"/>
      <c r="E25" s="32" t="s">
        <v>867</v>
      </c>
      <c r="F25" s="31"/>
      <c r="G25" s="40" t="s">
        <v>93</v>
      </c>
      <c r="H25" s="42"/>
      <c r="I25" s="43"/>
      <c r="J25" s="54"/>
      <c r="K25" s="25" t="s">
        <v>156</v>
      </c>
      <c r="L25" s="301" t="s">
        <v>942</v>
      </c>
      <c r="M25" s="301" t="s">
        <v>943</v>
      </c>
      <c r="N25" s="54"/>
      <c r="O25" s="612"/>
      <c r="P25" s="613"/>
      <c r="Q25" s="613"/>
      <c r="R25" s="614"/>
      <c r="S25" s="9"/>
      <c r="T25" s="81"/>
      <c r="U25" s="81"/>
      <c r="V25" s="81"/>
      <c r="X25" s="81"/>
      <c r="Y25" s="81"/>
      <c r="Z25" s="81"/>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c r="CD25" s="13"/>
      <c r="CE25" s="13"/>
      <c r="CF25" s="13"/>
      <c r="CG25" s="13"/>
      <c r="CH25" s="13"/>
      <c r="CI25" s="13"/>
      <c r="CJ25" s="13"/>
      <c r="CK25" s="13"/>
      <c r="CL25" s="13"/>
    </row>
    <row r="26" spans="1:90" s="12" customFormat="1" ht="30" customHeight="1" x14ac:dyDescent="0.3">
      <c r="A26" s="9"/>
      <c r="B26" s="31"/>
      <c r="C26" s="32" t="s">
        <v>102</v>
      </c>
      <c r="D26" s="31"/>
      <c r="E26" s="32" t="s">
        <v>291</v>
      </c>
      <c r="F26" s="31"/>
      <c r="G26" s="40" t="s">
        <v>103</v>
      </c>
      <c r="H26" s="345" t="s">
        <v>104</v>
      </c>
      <c r="I26" s="345"/>
      <c r="J26" s="54"/>
      <c r="K26" s="33" t="s">
        <v>260</v>
      </c>
      <c r="L26" s="16"/>
      <c r="M26" s="16"/>
      <c r="N26" s="54"/>
      <c r="O26" s="612"/>
      <c r="P26" s="613"/>
      <c r="Q26" s="613"/>
      <c r="R26" s="614"/>
      <c r="S26" s="9"/>
      <c r="U26" s="82"/>
      <c r="V26" s="83"/>
      <c r="X26" s="83"/>
      <c r="Y26" s="82"/>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row>
    <row r="27" spans="1:90" s="12" customFormat="1" ht="30" customHeight="1" x14ac:dyDescent="0.3">
      <c r="A27" s="9"/>
      <c r="B27" s="31"/>
      <c r="C27" s="32" t="s">
        <v>109</v>
      </c>
      <c r="D27" s="31"/>
      <c r="E27" s="32" t="s">
        <v>110</v>
      </c>
      <c r="F27" s="31"/>
      <c r="G27" s="40" t="s">
        <v>111</v>
      </c>
      <c r="H27" s="345" t="s">
        <v>112</v>
      </c>
      <c r="I27" s="345"/>
      <c r="J27" s="54"/>
      <c r="K27" s="33" t="s">
        <v>135</v>
      </c>
      <c r="L27" s="16"/>
      <c r="M27" s="16"/>
      <c r="N27" s="54"/>
      <c r="O27" s="612"/>
      <c r="P27" s="613"/>
      <c r="Q27" s="613"/>
      <c r="R27" s="614"/>
      <c r="S27" s="9"/>
      <c r="U27" s="83"/>
      <c r="V27" s="82"/>
      <c r="X27" s="82"/>
      <c r="Y27" s="8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3"/>
    </row>
    <row r="28" spans="1:90" s="12" customFormat="1" ht="30" customHeight="1" x14ac:dyDescent="0.3">
      <c r="A28" s="9"/>
      <c r="B28" s="364" t="s">
        <v>159</v>
      </c>
      <c r="C28" s="365"/>
      <c r="D28" s="365"/>
      <c r="E28" s="366"/>
      <c r="F28" s="364" t="s">
        <v>160</v>
      </c>
      <c r="G28" s="365"/>
      <c r="H28" s="365"/>
      <c r="I28" s="366"/>
      <c r="J28" s="52"/>
      <c r="K28" s="33" t="s">
        <v>233</v>
      </c>
      <c r="L28" s="16"/>
      <c r="M28" s="16"/>
      <c r="N28" s="52"/>
      <c r="O28" s="612"/>
      <c r="P28" s="613"/>
      <c r="Q28" s="613"/>
      <c r="R28" s="614"/>
      <c r="S28" s="9"/>
      <c r="T28" s="78"/>
      <c r="U28" s="84"/>
      <c r="V28" s="84"/>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c r="CC28" s="13"/>
      <c r="CD28" s="13"/>
      <c r="CE28" s="13"/>
      <c r="CF28" s="13"/>
      <c r="CG28" s="13"/>
      <c r="CH28" s="13"/>
      <c r="CI28" s="13"/>
      <c r="CJ28" s="13"/>
      <c r="CK28" s="13"/>
      <c r="CL28" s="13"/>
    </row>
    <row r="29" spans="1:90" s="12" customFormat="1" ht="30" customHeight="1" x14ac:dyDescent="0.3">
      <c r="A29" s="9"/>
      <c r="B29" s="44"/>
      <c r="C29" s="45" t="s">
        <v>865</v>
      </c>
      <c r="D29" s="44"/>
      <c r="E29" s="32" t="s">
        <v>866</v>
      </c>
      <c r="F29" s="44"/>
      <c r="G29" s="45" t="s">
        <v>122</v>
      </c>
      <c r="H29" s="44"/>
      <c r="I29" s="45" t="s">
        <v>123</v>
      </c>
      <c r="J29" s="54"/>
      <c r="K29" s="33" t="s">
        <v>255</v>
      </c>
      <c r="L29" s="16"/>
      <c r="M29" s="16"/>
      <c r="N29" s="54"/>
      <c r="O29" s="612"/>
      <c r="P29" s="613"/>
      <c r="Q29" s="613"/>
      <c r="R29" s="614"/>
      <c r="S29" s="9"/>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13"/>
      <c r="CL29" s="13"/>
    </row>
    <row r="30" spans="1:90" s="12" customFormat="1" ht="30" customHeight="1" x14ac:dyDescent="0.3">
      <c r="A30" s="9"/>
      <c r="B30" s="367" t="s">
        <v>127</v>
      </c>
      <c r="C30" s="367"/>
      <c r="D30" s="367"/>
      <c r="E30" s="367"/>
      <c r="F30" s="367"/>
      <c r="G30" s="367"/>
      <c r="H30" s="367"/>
      <c r="I30" s="367"/>
      <c r="J30" s="53"/>
      <c r="K30" s="33" t="s">
        <v>237</v>
      </c>
      <c r="L30" s="16"/>
      <c r="M30" s="16"/>
      <c r="N30" s="53"/>
      <c r="O30" s="612"/>
      <c r="P30" s="613"/>
      <c r="Q30" s="613"/>
      <c r="R30" s="614"/>
      <c r="S30" s="9"/>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row>
    <row r="31" spans="1:90" s="12" customFormat="1" ht="30" customHeight="1" x14ac:dyDescent="0.3">
      <c r="A31" s="9"/>
      <c r="B31" s="313" t="s">
        <v>869</v>
      </c>
      <c r="C31" s="314"/>
      <c r="D31" s="314"/>
      <c r="E31" s="314"/>
      <c r="F31" s="314"/>
      <c r="G31" s="314"/>
      <c r="H31" s="314"/>
      <c r="I31" s="315"/>
      <c r="J31" s="54"/>
      <c r="K31" s="33" t="s">
        <v>402</v>
      </c>
      <c r="L31" s="16"/>
      <c r="M31" s="16"/>
      <c r="N31" s="54"/>
      <c r="O31" s="612"/>
      <c r="P31" s="613"/>
      <c r="Q31" s="613"/>
      <c r="R31" s="614"/>
      <c r="S31" s="9"/>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13"/>
      <c r="CJ31" s="13"/>
      <c r="CK31" s="13"/>
      <c r="CL31" s="13"/>
    </row>
    <row r="32" spans="1:90" s="12" customFormat="1" ht="30" customHeight="1" x14ac:dyDescent="0.3">
      <c r="A32" s="9"/>
      <c r="B32" s="316"/>
      <c r="C32" s="317"/>
      <c r="D32" s="317"/>
      <c r="E32" s="317"/>
      <c r="F32" s="317"/>
      <c r="G32" s="317"/>
      <c r="H32" s="317"/>
      <c r="I32" s="318"/>
      <c r="J32" s="54"/>
      <c r="K32" s="33" t="s">
        <v>251</v>
      </c>
      <c r="L32" s="16"/>
      <c r="M32" s="16"/>
      <c r="N32" s="54"/>
      <c r="O32" s="612"/>
      <c r="P32" s="613"/>
      <c r="Q32" s="613"/>
      <c r="R32" s="614"/>
      <c r="S32" s="9"/>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13"/>
      <c r="CG32" s="13"/>
      <c r="CH32" s="13"/>
      <c r="CI32" s="13"/>
      <c r="CJ32" s="13"/>
      <c r="CK32" s="13"/>
      <c r="CL32" s="13"/>
    </row>
    <row r="33" spans="1:34" ht="30" customHeight="1" x14ac:dyDescent="0.3">
      <c r="A33" s="9"/>
      <c r="B33" s="379" t="str">
        <f>IF(B28=V25,"Firma Piloto Supervisor","Firma Piloto Instructor")</f>
        <v>Firma Piloto Instructor</v>
      </c>
      <c r="C33" s="380"/>
      <c r="D33" s="380"/>
      <c r="E33" s="381"/>
      <c r="F33" s="379" t="s">
        <v>130</v>
      </c>
      <c r="G33" s="380"/>
      <c r="H33" s="380"/>
      <c r="I33" s="381"/>
      <c r="J33" s="56"/>
      <c r="K33" s="346" t="s">
        <v>292</v>
      </c>
      <c r="L33" s="346"/>
      <c r="M33" s="346"/>
      <c r="N33" s="56"/>
      <c r="O33" s="612"/>
      <c r="P33" s="613"/>
      <c r="Q33" s="613"/>
      <c r="R33" s="614"/>
      <c r="S33" s="9"/>
      <c r="Z33" s="12"/>
    </row>
    <row r="34" spans="1:34" ht="30" customHeight="1" x14ac:dyDescent="0.3">
      <c r="A34" s="9"/>
      <c r="B34" s="313" t="s">
        <v>870</v>
      </c>
      <c r="C34" s="314"/>
      <c r="D34" s="314"/>
      <c r="E34" s="315"/>
      <c r="F34" s="313" t="s">
        <v>871</v>
      </c>
      <c r="G34" s="314"/>
      <c r="H34" s="314"/>
      <c r="I34" s="315"/>
      <c r="J34" s="56"/>
      <c r="K34" s="369" t="s">
        <v>241</v>
      </c>
      <c r="L34" s="371"/>
      <c r="M34" s="372"/>
      <c r="N34" s="56"/>
      <c r="O34" s="612"/>
      <c r="P34" s="613"/>
      <c r="Q34" s="613"/>
      <c r="R34" s="614"/>
      <c r="S34" s="9"/>
      <c r="Z34" s="12"/>
    </row>
    <row r="35" spans="1:34" ht="30" customHeight="1" x14ac:dyDescent="0.3">
      <c r="A35" s="9"/>
      <c r="B35" s="316"/>
      <c r="C35" s="317"/>
      <c r="D35" s="317"/>
      <c r="E35" s="318"/>
      <c r="F35" s="316"/>
      <c r="G35" s="317"/>
      <c r="H35" s="317"/>
      <c r="I35" s="318"/>
      <c r="J35" s="52"/>
      <c r="K35" s="370"/>
      <c r="L35" s="373"/>
      <c r="M35" s="374"/>
      <c r="N35" s="52"/>
      <c r="O35" s="612"/>
      <c r="P35" s="613"/>
      <c r="Q35" s="613"/>
      <c r="R35" s="614"/>
      <c r="S35" s="9"/>
      <c r="Z35" s="12"/>
    </row>
    <row r="36" spans="1:34" ht="30" customHeight="1" x14ac:dyDescent="0.3">
      <c r="A36" s="9"/>
      <c r="B36" s="313" t="s">
        <v>872</v>
      </c>
      <c r="C36" s="314"/>
      <c r="D36" s="314"/>
      <c r="E36" s="315"/>
      <c r="F36" s="313" t="s">
        <v>873</v>
      </c>
      <c r="G36" s="314"/>
      <c r="H36" s="314"/>
      <c r="I36" s="315"/>
      <c r="J36" s="56"/>
      <c r="K36" s="313" t="s">
        <v>863</v>
      </c>
      <c r="L36" s="314"/>
      <c r="M36" s="315"/>
      <c r="N36" s="56"/>
      <c r="O36" s="612"/>
      <c r="P36" s="613"/>
      <c r="Q36" s="613"/>
      <c r="R36" s="614"/>
      <c r="S36" s="9"/>
      <c r="Z36" s="12"/>
    </row>
    <row r="37" spans="1:34" ht="30" customHeight="1" x14ac:dyDescent="0.3">
      <c r="A37" s="9"/>
      <c r="B37" s="316"/>
      <c r="C37" s="317"/>
      <c r="D37" s="317"/>
      <c r="E37" s="318"/>
      <c r="F37" s="316"/>
      <c r="G37" s="317"/>
      <c r="H37" s="317"/>
      <c r="I37" s="318"/>
      <c r="J37" s="56"/>
      <c r="K37" s="357"/>
      <c r="L37" s="375"/>
      <c r="M37" s="358"/>
      <c r="N37" s="56"/>
      <c r="O37" s="612"/>
      <c r="P37" s="613"/>
      <c r="Q37" s="613"/>
      <c r="R37" s="614"/>
      <c r="S37" s="9"/>
      <c r="Z37" s="12"/>
    </row>
    <row r="38" spans="1:34" ht="30" customHeight="1" x14ac:dyDescent="0.3">
      <c r="A38" s="9"/>
      <c r="B38" s="356" t="s">
        <v>65</v>
      </c>
      <c r="C38" s="356"/>
      <c r="D38" s="356"/>
      <c r="E38" s="356"/>
      <c r="F38" s="356" t="s">
        <v>874</v>
      </c>
      <c r="G38" s="356"/>
      <c r="H38" s="356"/>
      <c r="I38" s="356"/>
      <c r="J38" s="56"/>
      <c r="K38" s="357"/>
      <c r="L38" s="375"/>
      <c r="M38" s="358"/>
      <c r="N38" s="56"/>
      <c r="O38" s="612"/>
      <c r="P38" s="613"/>
      <c r="Q38" s="613"/>
      <c r="R38" s="614"/>
      <c r="S38" s="9"/>
    </row>
    <row r="39" spans="1:34" ht="30" customHeight="1" x14ac:dyDescent="0.3">
      <c r="A39" s="9"/>
      <c r="B39" s="377"/>
      <c r="C39" s="377"/>
      <c r="D39" s="377"/>
      <c r="E39" s="377"/>
      <c r="F39" s="377"/>
      <c r="G39" s="377"/>
      <c r="H39" s="377"/>
      <c r="I39" s="377"/>
      <c r="J39" s="56"/>
      <c r="K39" s="316"/>
      <c r="L39" s="317"/>
      <c r="M39" s="318"/>
      <c r="N39" s="56"/>
      <c r="O39" s="612"/>
      <c r="P39" s="613"/>
      <c r="Q39" s="613"/>
      <c r="R39" s="614"/>
      <c r="S39" s="9"/>
    </row>
    <row r="40" spans="1:34" ht="30" customHeight="1" x14ac:dyDescent="0.3">
      <c r="A40" s="9"/>
      <c r="B40" s="378" t="s">
        <v>131</v>
      </c>
      <c r="C40" s="378"/>
      <c r="D40" s="378"/>
      <c r="E40" s="378"/>
      <c r="F40" s="378" t="s">
        <v>131</v>
      </c>
      <c r="G40" s="378"/>
      <c r="H40" s="378"/>
      <c r="I40" s="378"/>
      <c r="J40" s="56"/>
      <c r="K40" s="376" t="str">
        <f>IF(L34="ALTO","Firma","--- // ---")</f>
        <v>--- // ---</v>
      </c>
      <c r="L40" s="376"/>
      <c r="M40" s="376"/>
      <c r="N40" s="56"/>
      <c r="O40" s="612"/>
      <c r="P40" s="613"/>
      <c r="Q40" s="613"/>
      <c r="R40" s="614"/>
      <c r="S40" s="9"/>
    </row>
    <row r="41" spans="1:34" ht="30" customHeight="1" x14ac:dyDescent="0.3">
      <c r="A41" s="9"/>
      <c r="B41" s="378"/>
      <c r="C41" s="378"/>
      <c r="D41" s="378"/>
      <c r="E41" s="378"/>
      <c r="F41" s="378"/>
      <c r="G41" s="378"/>
      <c r="H41" s="378"/>
      <c r="I41" s="378"/>
      <c r="J41" s="56"/>
      <c r="K41" s="376"/>
      <c r="L41" s="376"/>
      <c r="M41" s="376"/>
      <c r="N41" s="56"/>
      <c r="O41" s="612"/>
      <c r="P41" s="613"/>
      <c r="Q41" s="613"/>
      <c r="R41" s="614"/>
      <c r="S41" s="9"/>
    </row>
    <row r="42" spans="1:34" ht="30" customHeight="1" x14ac:dyDescent="0.3">
      <c r="A42" s="9"/>
      <c r="B42" s="378"/>
      <c r="C42" s="378"/>
      <c r="D42" s="378"/>
      <c r="E42" s="378"/>
      <c r="F42" s="378"/>
      <c r="G42" s="378"/>
      <c r="H42" s="378"/>
      <c r="I42" s="378"/>
      <c r="J42" s="57"/>
      <c r="K42" s="376"/>
      <c r="L42" s="376"/>
      <c r="M42" s="376"/>
      <c r="N42" s="57"/>
      <c r="O42" s="612"/>
      <c r="P42" s="613"/>
      <c r="Q42" s="613"/>
      <c r="R42" s="614"/>
      <c r="S42" s="9"/>
    </row>
    <row r="43" spans="1:34" ht="30" customHeight="1" x14ac:dyDescent="0.3">
      <c r="A43" s="9"/>
      <c r="B43" s="378"/>
      <c r="C43" s="378"/>
      <c r="D43" s="378"/>
      <c r="E43" s="378"/>
      <c r="F43" s="378"/>
      <c r="G43" s="378"/>
      <c r="H43" s="378"/>
      <c r="I43" s="378"/>
      <c r="J43" s="57"/>
      <c r="K43" s="376"/>
      <c r="L43" s="376"/>
      <c r="M43" s="376"/>
      <c r="N43" s="57"/>
      <c r="O43" s="615"/>
      <c r="P43" s="616"/>
      <c r="Q43" s="616"/>
      <c r="R43" s="617"/>
      <c r="S43" s="9"/>
    </row>
    <row r="44" spans="1:34" ht="30" customHeight="1" x14ac:dyDescent="0.3">
      <c r="A44" s="9"/>
      <c r="B44" s="608" t="s">
        <v>293</v>
      </c>
      <c r="C44" s="608"/>
      <c r="D44" s="608"/>
      <c r="E44" s="608"/>
      <c r="F44" s="608" t="s">
        <v>293</v>
      </c>
      <c r="G44" s="608"/>
      <c r="H44" s="608"/>
      <c r="I44" s="608"/>
      <c r="J44" s="52"/>
      <c r="K44" s="608" t="s">
        <v>293</v>
      </c>
      <c r="L44" s="608"/>
      <c r="M44" s="608"/>
      <c r="N44" s="52"/>
      <c r="O44" s="35" t="s">
        <v>398</v>
      </c>
      <c r="P44" s="102"/>
      <c r="Q44" s="35" t="s">
        <v>400</v>
      </c>
      <c r="R44" s="102"/>
      <c r="S44" s="9"/>
    </row>
    <row r="45" spans="1:34" ht="30" customHeight="1" x14ac:dyDescent="0.3">
      <c r="A45" s="9"/>
      <c r="B45" s="608" t="s">
        <v>32</v>
      </c>
      <c r="C45" s="608"/>
      <c r="D45" s="608"/>
      <c r="E45" s="608"/>
      <c r="F45" s="608" t="s">
        <v>32</v>
      </c>
      <c r="G45" s="608"/>
      <c r="H45" s="608"/>
      <c r="I45" s="608"/>
      <c r="J45" s="58"/>
      <c r="K45" s="608" t="s">
        <v>32</v>
      </c>
      <c r="L45" s="608"/>
      <c r="M45" s="608"/>
      <c r="N45" s="58"/>
      <c r="O45" s="35" t="s">
        <v>399</v>
      </c>
      <c r="P45" s="102"/>
      <c r="Q45" s="35" t="s">
        <v>401</v>
      </c>
      <c r="R45" s="102"/>
      <c r="S45" s="9"/>
    </row>
    <row r="46" spans="1:34" ht="30" customHeight="1" x14ac:dyDescent="0.3">
      <c r="A46" s="9"/>
      <c r="B46" s="9"/>
      <c r="C46" s="9"/>
      <c r="D46" s="9"/>
      <c r="E46" s="9"/>
      <c r="F46" s="9"/>
      <c r="G46" s="9"/>
      <c r="H46" s="9"/>
      <c r="I46" s="9"/>
      <c r="J46" s="9"/>
      <c r="K46" s="9"/>
      <c r="L46" s="10"/>
      <c r="M46" s="10"/>
      <c r="N46" s="9"/>
      <c r="O46" s="11"/>
      <c r="P46" s="9"/>
      <c r="Q46" s="9"/>
      <c r="R46" s="9"/>
      <c r="S46" s="9"/>
    </row>
    <row r="47" spans="1:34" s="12" customFormat="1" ht="30" hidden="1" customHeight="1" x14ac:dyDescent="0.3">
      <c r="A47" s="9"/>
      <c r="B47" s="9"/>
      <c r="C47" s="9"/>
      <c r="D47" s="9"/>
      <c r="E47" s="9"/>
      <c r="F47" s="9"/>
      <c r="G47" s="9"/>
      <c r="H47" s="9"/>
      <c r="I47" s="9"/>
      <c r="J47" s="9"/>
      <c r="K47" s="9"/>
      <c r="L47" s="10"/>
      <c r="M47" s="10"/>
      <c r="N47" s="9"/>
      <c r="O47" s="11"/>
      <c r="P47" s="9"/>
      <c r="Q47" s="9"/>
      <c r="R47" s="9"/>
      <c r="S47" s="9"/>
      <c r="Z47" s="13"/>
      <c r="AA47" s="13"/>
      <c r="AB47" s="13"/>
      <c r="AC47" s="13"/>
      <c r="AD47" s="13"/>
      <c r="AE47" s="13"/>
      <c r="AF47" s="13"/>
      <c r="AG47" s="13"/>
      <c r="AH47" s="13"/>
    </row>
    <row r="49" spans="1:34" s="12" customFormat="1" ht="30" hidden="1" customHeight="1" x14ac:dyDescent="0.3">
      <c r="A49" s="13"/>
      <c r="B49" s="13"/>
      <c r="C49" s="13"/>
      <c r="D49" s="13"/>
      <c r="E49" s="13"/>
      <c r="F49" s="13"/>
      <c r="G49" s="13"/>
      <c r="H49" s="13"/>
      <c r="I49" s="13"/>
      <c r="J49" s="13"/>
      <c r="K49" s="13"/>
      <c r="N49" s="13"/>
      <c r="O49" s="13"/>
      <c r="P49" s="13"/>
      <c r="Q49" s="13"/>
      <c r="R49" s="13"/>
      <c r="S49" s="13"/>
      <c r="Z49" s="13"/>
      <c r="AA49" s="13"/>
      <c r="AB49" s="13"/>
      <c r="AC49" s="13"/>
      <c r="AD49" s="13"/>
      <c r="AE49" s="13"/>
      <c r="AF49" s="13"/>
      <c r="AG49" s="13"/>
      <c r="AH49" s="13"/>
    </row>
    <row r="50" spans="1:34" s="12" customFormat="1" ht="30" hidden="1" customHeight="1" x14ac:dyDescent="0.3">
      <c r="A50" s="13"/>
      <c r="B50" s="13"/>
      <c r="C50" s="13"/>
      <c r="D50" s="13"/>
      <c r="E50" s="13"/>
      <c r="F50" s="13"/>
      <c r="G50" s="13"/>
      <c r="H50" s="13"/>
      <c r="I50" s="13"/>
      <c r="J50" s="13"/>
      <c r="K50" s="13"/>
      <c r="N50" s="13"/>
      <c r="O50" s="13"/>
      <c r="P50" s="13"/>
      <c r="Q50" s="13"/>
      <c r="R50" s="13"/>
      <c r="S50" s="13"/>
      <c r="Z50" s="13"/>
      <c r="AA50" s="13"/>
      <c r="AB50" s="13"/>
      <c r="AC50" s="13"/>
      <c r="AD50" s="13"/>
      <c r="AE50" s="13"/>
      <c r="AF50" s="13"/>
      <c r="AG50" s="13"/>
      <c r="AH50" s="13"/>
    </row>
    <row r="51" spans="1:34" s="12" customFormat="1" ht="30" hidden="1" customHeight="1" x14ac:dyDescent="0.3">
      <c r="A51" s="13"/>
      <c r="B51" s="13"/>
      <c r="C51" s="13"/>
      <c r="D51" s="13"/>
      <c r="E51" s="13"/>
      <c r="F51" s="13"/>
      <c r="G51" s="13"/>
      <c r="H51" s="13"/>
      <c r="I51" s="13"/>
      <c r="J51" s="13"/>
      <c r="K51" s="13"/>
      <c r="N51" s="13"/>
      <c r="O51" s="13"/>
      <c r="P51" s="13"/>
      <c r="Q51" s="13"/>
      <c r="R51" s="13"/>
      <c r="S51" s="13"/>
      <c r="Z51" s="13"/>
      <c r="AA51" s="13"/>
      <c r="AB51" s="13"/>
      <c r="AC51" s="13"/>
      <c r="AD51" s="13"/>
      <c r="AE51" s="13"/>
      <c r="AF51" s="13"/>
      <c r="AG51" s="13"/>
      <c r="AH51" s="13"/>
    </row>
    <row r="52" spans="1:34" s="12" customFormat="1" ht="30" hidden="1" customHeight="1" x14ac:dyDescent="0.3">
      <c r="A52" s="13"/>
      <c r="B52" s="13"/>
      <c r="C52" s="13"/>
      <c r="D52" s="13"/>
      <c r="E52" s="13"/>
      <c r="F52" s="13"/>
      <c r="G52" s="13"/>
      <c r="H52" s="13"/>
      <c r="I52" s="13"/>
      <c r="J52" s="13"/>
      <c r="K52" s="13"/>
      <c r="N52" s="13"/>
      <c r="O52" s="13"/>
      <c r="P52" s="13"/>
      <c r="Q52" s="13"/>
      <c r="R52" s="13"/>
      <c r="S52" s="13"/>
      <c r="Z52" s="13"/>
      <c r="AA52" s="13"/>
      <c r="AB52" s="13"/>
      <c r="AC52" s="13"/>
      <c r="AD52" s="13"/>
      <c r="AE52" s="13"/>
      <c r="AF52" s="13"/>
      <c r="AG52" s="13"/>
      <c r="AH52" s="13"/>
    </row>
    <row r="53" spans="1:34" s="12" customFormat="1" ht="30" hidden="1" customHeight="1" x14ac:dyDescent="0.3">
      <c r="A53" s="13"/>
      <c r="B53" s="13"/>
      <c r="C53" s="13"/>
      <c r="D53" s="13"/>
      <c r="E53" s="13"/>
      <c r="F53" s="13"/>
      <c r="G53" s="13"/>
      <c r="H53" s="13"/>
      <c r="I53" s="13"/>
      <c r="J53" s="13"/>
      <c r="K53" s="13"/>
      <c r="N53" s="13"/>
      <c r="O53" s="13"/>
      <c r="P53" s="13"/>
      <c r="Q53" s="13"/>
      <c r="R53" s="13"/>
      <c r="S53" s="13"/>
      <c r="Z53" s="13"/>
      <c r="AA53" s="13"/>
      <c r="AB53" s="13"/>
      <c r="AC53" s="13"/>
      <c r="AD53" s="13"/>
      <c r="AE53" s="13"/>
      <c r="AF53" s="13"/>
      <c r="AG53" s="13"/>
      <c r="AH53" s="13"/>
    </row>
    <row r="54" spans="1:34" s="12" customFormat="1" ht="30" hidden="1" customHeight="1" x14ac:dyDescent="0.3">
      <c r="A54" s="13"/>
      <c r="B54" s="13"/>
      <c r="C54" s="13"/>
      <c r="D54" s="13"/>
      <c r="E54" s="13"/>
      <c r="F54" s="13"/>
      <c r="G54" s="13"/>
      <c r="H54" s="13"/>
      <c r="I54" s="13"/>
      <c r="J54" s="13"/>
      <c r="K54" s="13"/>
      <c r="N54" s="13"/>
      <c r="O54" s="13"/>
      <c r="P54" s="13"/>
      <c r="Q54" s="13"/>
      <c r="R54" s="13"/>
      <c r="S54" s="13"/>
      <c r="Z54" s="13"/>
      <c r="AA54" s="13"/>
      <c r="AB54" s="13"/>
      <c r="AC54" s="13"/>
      <c r="AD54" s="13"/>
      <c r="AE54" s="13"/>
      <c r="AF54" s="13"/>
      <c r="AG54" s="13"/>
      <c r="AH54" s="13"/>
    </row>
    <row r="55" spans="1:34" s="12" customFormat="1" ht="30" hidden="1" customHeight="1" x14ac:dyDescent="0.3">
      <c r="A55" s="13"/>
      <c r="B55" s="13"/>
      <c r="C55" s="13"/>
      <c r="D55" s="13"/>
      <c r="E55" s="13"/>
      <c r="F55" s="13"/>
      <c r="G55" s="13"/>
      <c r="H55" s="13"/>
      <c r="I55" s="13"/>
      <c r="J55" s="13"/>
      <c r="K55" s="13"/>
      <c r="N55" s="13"/>
      <c r="O55" s="13"/>
      <c r="P55" s="13"/>
      <c r="Q55" s="13"/>
      <c r="R55" s="13"/>
      <c r="S55" s="13"/>
      <c r="Z55" s="13"/>
      <c r="AA55" s="13"/>
      <c r="AB55" s="13"/>
      <c r="AC55" s="13"/>
      <c r="AD55" s="13"/>
      <c r="AE55" s="13"/>
      <c r="AF55" s="13"/>
      <c r="AG55" s="13"/>
      <c r="AH55" s="13"/>
    </row>
    <row r="56" spans="1:34" s="12" customFormat="1" ht="30" hidden="1" customHeight="1" x14ac:dyDescent="0.3">
      <c r="A56" s="13"/>
      <c r="B56" s="13"/>
      <c r="C56" s="13"/>
      <c r="D56" s="13"/>
      <c r="E56" s="13"/>
      <c r="F56" s="13"/>
      <c r="G56" s="13"/>
      <c r="H56" s="13"/>
      <c r="I56" s="13"/>
      <c r="J56" s="13"/>
      <c r="K56" s="13"/>
      <c r="N56" s="13"/>
      <c r="O56" s="13"/>
      <c r="P56" s="13"/>
      <c r="Q56" s="13"/>
      <c r="R56" s="13"/>
      <c r="S56" s="13"/>
      <c r="Z56" s="13"/>
      <c r="AA56" s="13"/>
      <c r="AB56" s="13"/>
      <c r="AC56" s="13"/>
      <c r="AD56" s="13"/>
      <c r="AE56" s="13"/>
      <c r="AF56" s="13"/>
      <c r="AG56" s="13"/>
      <c r="AH56" s="13"/>
    </row>
    <row r="57" spans="1:34" s="12" customFormat="1" ht="30" hidden="1" customHeight="1" x14ac:dyDescent="0.3">
      <c r="A57" s="13"/>
      <c r="B57" s="13"/>
      <c r="C57" s="13"/>
      <c r="D57" s="13"/>
      <c r="E57" s="13"/>
      <c r="F57" s="13"/>
      <c r="G57" s="13"/>
      <c r="H57" s="13"/>
      <c r="I57" s="13"/>
      <c r="J57" s="13"/>
      <c r="K57" s="13"/>
      <c r="N57" s="13"/>
      <c r="O57" s="13"/>
      <c r="P57" s="13"/>
      <c r="Q57" s="13"/>
      <c r="R57" s="13"/>
      <c r="S57" s="13"/>
      <c r="Z57" s="13"/>
      <c r="AA57" s="13"/>
      <c r="AB57" s="13"/>
      <c r="AC57" s="13"/>
      <c r="AD57" s="13"/>
      <c r="AE57" s="13"/>
      <c r="AF57" s="13"/>
      <c r="AG57" s="13"/>
      <c r="AH57" s="13"/>
    </row>
    <row r="58" spans="1:34" s="12" customFormat="1" ht="30" hidden="1" customHeight="1" x14ac:dyDescent="0.3">
      <c r="A58" s="13"/>
      <c r="B58" s="13"/>
      <c r="C58" s="13"/>
      <c r="D58" s="13"/>
      <c r="E58" s="13"/>
      <c r="F58" s="13"/>
      <c r="G58" s="13"/>
      <c r="H58" s="13"/>
      <c r="I58" s="13"/>
      <c r="J58" s="13"/>
      <c r="K58" s="13"/>
      <c r="N58" s="13"/>
      <c r="O58" s="13"/>
      <c r="P58" s="13"/>
      <c r="Q58" s="13"/>
      <c r="R58" s="13"/>
      <c r="S58" s="13"/>
      <c r="Z58" s="13"/>
      <c r="AA58" s="13"/>
      <c r="AB58" s="13"/>
      <c r="AC58" s="13"/>
      <c r="AD58" s="13"/>
      <c r="AE58" s="13"/>
      <c r="AF58" s="13"/>
      <c r="AG58" s="13"/>
      <c r="AH58" s="13"/>
    </row>
    <row r="59" spans="1:34" s="12" customFormat="1" ht="30" hidden="1" customHeight="1" x14ac:dyDescent="0.3">
      <c r="A59" s="13"/>
      <c r="B59" s="13"/>
      <c r="C59" s="13"/>
      <c r="D59" s="13"/>
      <c r="E59" s="13"/>
      <c r="F59" s="13"/>
      <c r="G59" s="13"/>
      <c r="H59" s="13"/>
      <c r="I59" s="13"/>
      <c r="J59" s="13"/>
      <c r="K59" s="13"/>
      <c r="N59" s="13"/>
      <c r="O59" s="13"/>
      <c r="P59" s="13"/>
      <c r="Q59" s="13"/>
      <c r="R59" s="13"/>
      <c r="S59" s="13"/>
      <c r="Z59" s="13"/>
      <c r="AA59" s="13"/>
      <c r="AB59" s="13"/>
      <c r="AC59" s="13"/>
      <c r="AD59" s="13"/>
      <c r="AE59" s="13"/>
      <c r="AF59" s="13"/>
      <c r="AG59" s="13"/>
      <c r="AH59" s="13"/>
    </row>
    <row r="60" spans="1:34" s="12" customFormat="1" ht="30" hidden="1" customHeight="1" x14ac:dyDescent="0.3">
      <c r="A60" s="13"/>
      <c r="B60" s="13"/>
      <c r="C60" s="13"/>
      <c r="D60" s="13"/>
      <c r="E60" s="13"/>
      <c r="F60" s="13"/>
      <c r="G60" s="13"/>
      <c r="H60" s="13"/>
      <c r="I60" s="13"/>
      <c r="J60" s="13"/>
      <c r="K60" s="13"/>
      <c r="N60" s="13"/>
      <c r="O60" s="13"/>
      <c r="P60" s="13"/>
      <c r="Q60" s="13"/>
      <c r="R60" s="13"/>
      <c r="S60" s="13"/>
      <c r="Z60" s="13"/>
      <c r="AA60" s="13"/>
      <c r="AB60" s="13"/>
      <c r="AC60" s="13"/>
      <c r="AD60" s="13"/>
      <c r="AE60" s="13"/>
      <c r="AF60" s="13"/>
      <c r="AG60" s="13"/>
      <c r="AH60" s="13"/>
    </row>
    <row r="61" spans="1:34" s="12" customFormat="1" ht="30" hidden="1" customHeight="1" x14ac:dyDescent="0.3">
      <c r="A61" s="13"/>
      <c r="B61" s="13"/>
      <c r="C61" s="13"/>
      <c r="D61" s="13"/>
      <c r="E61" s="13"/>
      <c r="F61" s="13"/>
      <c r="G61" s="13"/>
      <c r="H61" s="13"/>
      <c r="I61" s="13"/>
      <c r="J61" s="13"/>
      <c r="K61" s="13"/>
      <c r="N61" s="13"/>
      <c r="O61" s="13"/>
      <c r="P61" s="13"/>
      <c r="Q61" s="13"/>
      <c r="R61" s="13"/>
      <c r="S61" s="13"/>
      <c r="Z61" s="13"/>
      <c r="AA61" s="13"/>
      <c r="AB61" s="13"/>
      <c r="AC61" s="13"/>
      <c r="AD61" s="13"/>
      <c r="AE61" s="13"/>
      <c r="AF61" s="13"/>
      <c r="AG61" s="13"/>
      <c r="AH61" s="13"/>
    </row>
    <row r="62" spans="1:34" s="12" customFormat="1" ht="30" hidden="1" customHeight="1" x14ac:dyDescent="0.3">
      <c r="A62" s="13"/>
      <c r="B62" s="13"/>
      <c r="C62" s="13"/>
      <c r="D62" s="13"/>
      <c r="E62" s="13"/>
      <c r="F62" s="13"/>
      <c r="G62" s="13"/>
      <c r="H62" s="13"/>
      <c r="I62" s="13"/>
      <c r="J62" s="13"/>
      <c r="K62" s="13"/>
      <c r="N62" s="13"/>
      <c r="O62" s="13"/>
      <c r="P62" s="13"/>
      <c r="Q62" s="13"/>
      <c r="R62" s="13"/>
      <c r="S62" s="13"/>
      <c r="Z62" s="13"/>
      <c r="AA62" s="13"/>
      <c r="AB62" s="13"/>
      <c r="AC62" s="13"/>
      <c r="AD62" s="13"/>
      <c r="AE62" s="13"/>
      <c r="AF62" s="13"/>
      <c r="AG62" s="13"/>
      <c r="AH62" s="13"/>
    </row>
    <row r="63" spans="1:34" ht="30" hidden="1" customHeight="1" x14ac:dyDescent="0.3">
      <c r="O63" s="13"/>
    </row>
    <row r="64" spans="1:34" ht="30" hidden="1" customHeight="1" x14ac:dyDescent="0.3">
      <c r="O64" s="13"/>
    </row>
    <row r="65" spans="15:15" ht="30" hidden="1" customHeight="1" x14ac:dyDescent="0.3">
      <c r="O65" s="13"/>
    </row>
    <row r="66" spans="15:15" ht="30" hidden="1" customHeight="1" x14ac:dyDescent="0.3">
      <c r="O66" s="13"/>
    </row>
    <row r="67" spans="15:15" ht="30" hidden="1" customHeight="1" x14ac:dyDescent="0.3">
      <c r="O67" s="13"/>
    </row>
    <row r="68" spans="15:15" ht="30" hidden="1" customHeight="1" x14ac:dyDescent="0.3">
      <c r="O68" s="13"/>
    </row>
    <row r="69" spans="15:15" ht="30" hidden="1" customHeight="1" x14ac:dyDescent="0.3">
      <c r="O69" s="13"/>
    </row>
    <row r="70" spans="15:15" ht="30" hidden="1" customHeight="1" x14ac:dyDescent="0.3">
      <c r="O70" s="13"/>
    </row>
    <row r="71" spans="15:15" ht="30" hidden="1" customHeight="1" x14ac:dyDescent="0.3">
      <c r="O71" s="13"/>
    </row>
    <row r="72" spans="15:15" ht="30" hidden="1" customHeight="1" x14ac:dyDescent="0.3">
      <c r="O72" s="13"/>
    </row>
    <row r="73" spans="15:15" ht="30" hidden="1" customHeight="1" x14ac:dyDescent="0.3">
      <c r="O73" s="13"/>
    </row>
    <row r="74" spans="15:15" ht="30" hidden="1" customHeight="1" x14ac:dyDescent="0.3">
      <c r="O74" s="13"/>
    </row>
    <row r="75" spans="15:15" ht="30" hidden="1" customHeight="1" x14ac:dyDescent="0.3">
      <c r="O75" s="13"/>
    </row>
    <row r="76" spans="15:15" ht="30" hidden="1" customHeight="1" x14ac:dyDescent="0.3">
      <c r="O76" s="13"/>
    </row>
    <row r="77" spans="15:15" ht="30" hidden="1" customHeight="1" x14ac:dyDescent="0.3">
      <c r="O77" s="13"/>
    </row>
    <row r="78" spans="15:15" ht="30" hidden="1" customHeight="1" x14ac:dyDescent="0.3">
      <c r="O78" s="13"/>
    </row>
  </sheetData>
  <sheetProtection algorithmName="SHA-512" hashValue="HrqJdUEZQKe035CpQSRKbtSehRgN+p5OM1nt7+E2sxIOpKM9FWSwV5rSnfJuiSQdzNoXaDA2PRZfobHEkROSgA==" saltValue="Lq+BwD4+6Supx30tZIDw1g==" spinCount="100000" sheet="1" objects="1" scenarios="1" selectLockedCells="1" selectUnlockedCells="1"/>
  <mergeCells count="72">
    <mergeCell ref="O24:R43"/>
    <mergeCell ref="B22:E22"/>
    <mergeCell ref="F22:G22"/>
    <mergeCell ref="F34:I35"/>
    <mergeCell ref="K34:K35"/>
    <mergeCell ref="F44:I44"/>
    <mergeCell ref="D2:Q2"/>
    <mergeCell ref="D3:Q3"/>
    <mergeCell ref="B40:E43"/>
    <mergeCell ref="F40:I43"/>
    <mergeCell ref="K40:M43"/>
    <mergeCell ref="L23:M23"/>
    <mergeCell ref="O23:R23"/>
    <mergeCell ref="L24:M24"/>
    <mergeCell ref="H26:I26"/>
    <mergeCell ref="H27:I27"/>
    <mergeCell ref="B28:E28"/>
    <mergeCell ref="F28:I28"/>
    <mergeCell ref="B30:I30"/>
    <mergeCell ref="H22:I22"/>
    <mergeCell ref="L22:M22"/>
    <mergeCell ref="B45:E45"/>
    <mergeCell ref="F45:I45"/>
    <mergeCell ref="K44:M44"/>
    <mergeCell ref="K45:M45"/>
    <mergeCell ref="B31:I32"/>
    <mergeCell ref="L34:M35"/>
    <mergeCell ref="B36:E37"/>
    <mergeCell ref="F36:I37"/>
    <mergeCell ref="K36:M39"/>
    <mergeCell ref="B38:E39"/>
    <mergeCell ref="F38:I39"/>
    <mergeCell ref="B44:E44"/>
    <mergeCell ref="B33:E33"/>
    <mergeCell ref="F33:I33"/>
    <mergeCell ref="K33:M33"/>
    <mergeCell ref="B34:E35"/>
    <mergeCell ref="L20:M20"/>
    <mergeCell ref="B21:E21"/>
    <mergeCell ref="F21:I21"/>
    <mergeCell ref="K21:M21"/>
    <mergeCell ref="O21:R21"/>
    <mergeCell ref="L17:M17"/>
    <mergeCell ref="L18:M18"/>
    <mergeCell ref="L19:M19"/>
    <mergeCell ref="B15:I15"/>
    <mergeCell ref="K15:M15"/>
    <mergeCell ref="B16:C16"/>
    <mergeCell ref="D16:E16"/>
    <mergeCell ref="F16:G16"/>
    <mergeCell ref="H16:I16"/>
    <mergeCell ref="L16:M16"/>
    <mergeCell ref="T7:U7"/>
    <mergeCell ref="B8:C8"/>
    <mergeCell ref="D8:E8"/>
    <mergeCell ref="F8:G8"/>
    <mergeCell ref="H8:I8"/>
    <mergeCell ref="L8:M8"/>
    <mergeCell ref="B10:I10"/>
    <mergeCell ref="K10:M10"/>
    <mergeCell ref="B11:E11"/>
    <mergeCell ref="F11:G11"/>
    <mergeCell ref="B2:C5"/>
    <mergeCell ref="D4:Q5"/>
    <mergeCell ref="P9:R9"/>
    <mergeCell ref="B7:R7"/>
    <mergeCell ref="B9:C9"/>
    <mergeCell ref="D9:E9"/>
    <mergeCell ref="F9:G9"/>
    <mergeCell ref="H9:I9"/>
    <mergeCell ref="L9:M9"/>
    <mergeCell ref="H11:I11"/>
  </mergeCells>
  <dataValidations count="3">
    <dataValidation type="list" allowBlank="1" showInputMessage="1" showErrorMessage="1" sqref="N8 D9:E9 J8" xr:uid="{830BBB90-F984-BE42-A106-84F847C14493}">
      <formula1>$T$26:$T$34</formula1>
    </dataValidation>
    <dataValidation operator="equal" allowBlank="1" showInputMessage="1" showErrorMessage="1" sqref="P9:R9" xr:uid="{BFB23E08-5887-A848-BD75-81103DFD02DA}"/>
    <dataValidation type="list" allowBlank="1" showInputMessage="1" showErrorMessage="1" sqref="R8" xr:uid="{8ADA9A51-FD8E-9748-9EB5-33D746FB1684}">
      <formula1>#REF!</formula1>
    </dataValidation>
  </dataValidations>
  <printOptions horizontalCentered="1" verticalCentered="1"/>
  <pageMargins left="0.23622047244094491" right="0.23622047244094491" top="0.39370078740157483" bottom="0.39370078740157483" header="0.31496062992125984" footer="0.31496062992125984"/>
  <pageSetup scale="44"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057BB-97F5-2545-80CD-455C09BE99A3}">
  <sheetPr codeName="Hoja5">
    <tabColor theme="0" tint="-0.499984740745262"/>
    <pageSetUpPr fitToPage="1"/>
  </sheetPr>
  <dimension ref="A1:CJ82"/>
  <sheetViews>
    <sheetView zoomScale="70" zoomScaleNormal="70" workbookViewId="0">
      <selection activeCell="P9" sqref="P9:R9"/>
    </sheetView>
  </sheetViews>
  <sheetFormatPr baseColWidth="10" defaultColWidth="0" defaultRowHeight="30" customHeight="1" zeroHeight="1" x14ac:dyDescent="0.3"/>
  <cols>
    <col min="1" max="1" width="10.88671875" style="13" customWidth="1"/>
    <col min="2" max="2" width="6" style="12" customWidth="1"/>
    <col min="3" max="3" width="22.44140625" style="13" customWidth="1"/>
    <col min="4" max="4" width="6" style="12" customWidth="1"/>
    <col min="5" max="5" width="22.44140625" style="13" customWidth="1"/>
    <col min="6" max="6" width="6" style="12" customWidth="1"/>
    <col min="7" max="7" width="22.44140625" style="13" customWidth="1"/>
    <col min="8" max="8" width="6" style="12" customWidth="1"/>
    <col min="9" max="9" width="22.44140625" style="13" customWidth="1"/>
    <col min="10" max="10" width="2.6640625" style="13" customWidth="1"/>
    <col min="11" max="11" width="33.88671875" style="13" customWidth="1"/>
    <col min="12" max="13" width="12" style="13" customWidth="1"/>
    <col min="14" max="14" width="2.6640625" style="13" customWidth="1"/>
    <col min="15" max="15" width="26.6640625" style="47" customWidth="1"/>
    <col min="16" max="18" width="26.6640625" style="13" customWidth="1"/>
    <col min="19" max="19" width="10.88671875" style="13" customWidth="1"/>
    <col min="20" max="25" width="11.44140625" style="13" hidden="1" customWidth="1"/>
    <col min="26" max="26" width="9.109375" style="13" hidden="1" customWidth="1"/>
    <col min="27" max="27" width="11.44140625" style="12" hidden="1" customWidth="1"/>
    <col min="28" max="33" width="11.44140625" style="13" hidden="1" customWidth="1"/>
    <col min="34" max="34" width="7.44140625" style="13" hidden="1" customWidth="1"/>
    <col min="35" max="16384" width="11.44140625" style="13" hidden="1"/>
  </cols>
  <sheetData>
    <row r="1" spans="1:33" ht="30" customHeight="1" x14ac:dyDescent="0.3">
      <c r="A1" s="9"/>
      <c r="B1" s="10"/>
      <c r="C1" s="9"/>
      <c r="D1" s="10"/>
      <c r="E1" s="9"/>
      <c r="F1" s="10"/>
      <c r="G1" s="9"/>
      <c r="H1" s="10"/>
      <c r="I1" s="9"/>
      <c r="J1" s="9"/>
      <c r="K1" s="9"/>
      <c r="L1" s="9"/>
      <c r="M1" s="9"/>
      <c r="N1" s="9"/>
      <c r="O1" s="11"/>
      <c r="P1" s="9"/>
      <c r="Q1" s="9"/>
      <c r="R1" s="11"/>
      <c r="S1" s="9"/>
    </row>
    <row r="2" spans="1:33" ht="30" customHeight="1" x14ac:dyDescent="0.3">
      <c r="A2" s="9"/>
      <c r="B2" s="323"/>
      <c r="C2" s="324"/>
      <c r="D2" s="329" t="s">
        <v>0</v>
      </c>
      <c r="E2" s="330"/>
      <c r="F2" s="330"/>
      <c r="G2" s="330"/>
      <c r="H2" s="330"/>
      <c r="I2" s="330"/>
      <c r="J2" s="330"/>
      <c r="K2" s="330"/>
      <c r="L2" s="330"/>
      <c r="M2" s="330"/>
      <c r="N2" s="330"/>
      <c r="O2" s="330"/>
      <c r="P2" s="330"/>
      <c r="Q2" s="331"/>
      <c r="R2" s="290" t="s">
        <v>864</v>
      </c>
      <c r="S2" s="9"/>
    </row>
    <row r="3" spans="1:33" ht="30" customHeight="1" x14ac:dyDescent="0.3">
      <c r="A3" s="9"/>
      <c r="B3" s="325"/>
      <c r="C3" s="326"/>
      <c r="D3" s="332" t="s">
        <v>403</v>
      </c>
      <c r="E3" s="333"/>
      <c r="F3" s="333"/>
      <c r="G3" s="333"/>
      <c r="H3" s="333"/>
      <c r="I3" s="333"/>
      <c r="J3" s="333"/>
      <c r="K3" s="333"/>
      <c r="L3" s="333"/>
      <c r="M3" s="333"/>
      <c r="N3" s="333"/>
      <c r="O3" s="333"/>
      <c r="P3" s="333"/>
      <c r="Q3" s="334"/>
      <c r="R3" s="291" t="s">
        <v>848</v>
      </c>
      <c r="S3" s="9"/>
    </row>
    <row r="4" spans="1:33" ht="30" customHeight="1" x14ac:dyDescent="0.3">
      <c r="A4" s="9"/>
      <c r="B4" s="325"/>
      <c r="C4" s="326"/>
      <c r="D4" s="601" t="s">
        <v>862</v>
      </c>
      <c r="E4" s="602"/>
      <c r="F4" s="602"/>
      <c r="G4" s="602"/>
      <c r="H4" s="602"/>
      <c r="I4" s="602"/>
      <c r="J4" s="602"/>
      <c r="K4" s="602"/>
      <c r="L4" s="602"/>
      <c r="M4" s="602"/>
      <c r="N4" s="602"/>
      <c r="O4" s="602"/>
      <c r="P4" s="602"/>
      <c r="Q4" s="603"/>
      <c r="R4" s="292" t="s">
        <v>947</v>
      </c>
      <c r="S4" s="9"/>
    </row>
    <row r="5" spans="1:33" ht="30" customHeight="1" x14ac:dyDescent="0.3">
      <c r="A5" s="9"/>
      <c r="B5" s="327"/>
      <c r="C5" s="328"/>
      <c r="D5" s="604"/>
      <c r="E5" s="479"/>
      <c r="F5" s="479"/>
      <c r="G5" s="479"/>
      <c r="H5" s="479"/>
      <c r="I5" s="479"/>
      <c r="J5" s="479"/>
      <c r="K5" s="479"/>
      <c r="L5" s="479"/>
      <c r="M5" s="479"/>
      <c r="N5" s="479"/>
      <c r="O5" s="479"/>
      <c r="P5" s="479"/>
      <c r="Q5" s="605"/>
      <c r="R5" s="293" t="s">
        <v>948</v>
      </c>
      <c r="S5" s="9"/>
    </row>
    <row r="6" spans="1:33" ht="30" customHeight="1" x14ac:dyDescent="0.3">
      <c r="A6" s="9"/>
      <c r="B6" s="10"/>
      <c r="C6" s="10"/>
      <c r="D6" s="59"/>
      <c r="E6" s="59"/>
      <c r="F6" s="59"/>
      <c r="G6" s="59"/>
      <c r="H6" s="59"/>
      <c r="I6" s="59"/>
      <c r="J6" s="59"/>
      <c r="K6" s="59"/>
      <c r="L6" s="59"/>
      <c r="M6" s="59"/>
      <c r="N6" s="59"/>
      <c r="O6" s="59"/>
      <c r="P6" s="59"/>
      <c r="Q6" s="59"/>
      <c r="R6" s="60"/>
      <c r="S6" s="9"/>
    </row>
    <row r="7" spans="1:33" ht="30" customHeight="1" x14ac:dyDescent="0.3">
      <c r="A7" s="9"/>
      <c r="B7" s="338" t="s">
        <v>1</v>
      </c>
      <c r="C7" s="338"/>
      <c r="D7" s="338"/>
      <c r="E7" s="338"/>
      <c r="F7" s="338"/>
      <c r="G7" s="338"/>
      <c r="H7" s="338"/>
      <c r="I7" s="338"/>
      <c r="J7" s="338"/>
      <c r="K7" s="338"/>
      <c r="L7" s="338"/>
      <c r="M7" s="338"/>
      <c r="N7" s="338"/>
      <c r="O7" s="338"/>
      <c r="P7" s="338"/>
      <c r="Q7" s="338"/>
      <c r="R7" s="338"/>
      <c r="S7" s="9"/>
      <c r="T7" s="19">
        <v>1</v>
      </c>
      <c r="U7" s="19"/>
      <c r="V7" s="19">
        <v>2</v>
      </c>
      <c r="W7" s="19"/>
      <c r="X7" s="19">
        <v>3</v>
      </c>
      <c r="Y7" s="19"/>
      <c r="AA7" s="61">
        <v>337</v>
      </c>
      <c r="AB7" s="62">
        <v>169.3</v>
      </c>
      <c r="AC7" s="62">
        <v>337</v>
      </c>
      <c r="AD7" s="61" t="s">
        <v>266</v>
      </c>
      <c r="AE7" s="62">
        <v>164</v>
      </c>
      <c r="AF7" s="62">
        <v>580</v>
      </c>
    </row>
    <row r="8" spans="1:33" ht="30" customHeight="1" x14ac:dyDescent="0.3">
      <c r="A8" s="9"/>
      <c r="B8" s="382" t="s">
        <v>5</v>
      </c>
      <c r="C8" s="382"/>
      <c r="D8" s="607"/>
      <c r="E8" s="607"/>
      <c r="F8" s="382" t="s">
        <v>13</v>
      </c>
      <c r="G8" s="382"/>
      <c r="H8" s="606"/>
      <c r="I8" s="606"/>
      <c r="J8" s="50"/>
      <c r="K8" s="23" t="s">
        <v>16</v>
      </c>
      <c r="L8" s="606"/>
      <c r="M8" s="606"/>
      <c r="N8" s="50"/>
      <c r="O8" s="21" t="s">
        <v>6</v>
      </c>
      <c r="P8" s="20" t="s">
        <v>267</v>
      </c>
      <c r="Q8" s="21" t="s">
        <v>8</v>
      </c>
      <c r="R8" s="20"/>
      <c r="S8" s="9"/>
      <c r="T8" s="19" t="s">
        <v>11</v>
      </c>
      <c r="U8" s="19" t="s">
        <v>12</v>
      </c>
      <c r="V8" s="19" t="s">
        <v>11</v>
      </c>
      <c r="W8" s="19" t="s">
        <v>12</v>
      </c>
      <c r="X8" s="19" t="s">
        <v>11</v>
      </c>
      <c r="Y8" s="19" t="s">
        <v>12</v>
      </c>
      <c r="AA8" s="63"/>
      <c r="AB8" s="62">
        <v>178.2</v>
      </c>
      <c r="AC8" s="62">
        <v>337</v>
      </c>
      <c r="AD8" s="63"/>
      <c r="AE8" s="62">
        <v>178.2</v>
      </c>
      <c r="AF8" s="62">
        <v>580</v>
      </c>
    </row>
    <row r="9" spans="1:33" ht="30" customHeight="1" x14ac:dyDescent="0.3">
      <c r="A9" s="9"/>
      <c r="B9" s="385" t="s">
        <v>928</v>
      </c>
      <c r="C9" s="385"/>
      <c r="D9" s="606"/>
      <c r="E9" s="606"/>
      <c r="F9" s="382" t="s">
        <v>14</v>
      </c>
      <c r="G9" s="382"/>
      <c r="H9" s="606"/>
      <c r="I9" s="606"/>
      <c r="J9" s="51"/>
      <c r="K9" s="23" t="s">
        <v>17</v>
      </c>
      <c r="L9" s="606"/>
      <c r="M9" s="606"/>
      <c r="N9" s="51"/>
      <c r="O9" s="24" t="s">
        <v>15</v>
      </c>
      <c r="P9" s="368"/>
      <c r="Q9" s="368"/>
      <c r="R9" s="368"/>
      <c r="S9" s="9"/>
      <c r="T9" s="16">
        <v>169.3</v>
      </c>
      <c r="U9" s="16">
        <v>337</v>
      </c>
      <c r="V9" s="16">
        <v>169.3</v>
      </c>
      <c r="W9" s="16">
        <v>337</v>
      </c>
      <c r="X9" s="16">
        <v>169.3</v>
      </c>
      <c r="Y9" s="16">
        <v>337</v>
      </c>
      <c r="AA9" s="64">
        <v>402</v>
      </c>
      <c r="AB9" s="62">
        <v>164</v>
      </c>
      <c r="AC9" s="62">
        <v>402</v>
      </c>
      <c r="AD9" s="61" t="s">
        <v>268</v>
      </c>
      <c r="AE9" s="62">
        <v>164</v>
      </c>
      <c r="AF9" s="62">
        <v>600</v>
      </c>
    </row>
    <row r="10" spans="1:33" ht="30" customHeight="1" x14ac:dyDescent="0.3">
      <c r="A10" s="9"/>
      <c r="B10" s="367" t="s">
        <v>19</v>
      </c>
      <c r="C10" s="367"/>
      <c r="D10" s="367"/>
      <c r="E10" s="367"/>
      <c r="F10" s="367"/>
      <c r="G10" s="367"/>
      <c r="H10" s="367"/>
      <c r="I10" s="367"/>
      <c r="J10" s="53"/>
      <c r="K10" s="398" t="s">
        <v>397</v>
      </c>
      <c r="L10" s="399"/>
      <c r="M10" s="400"/>
      <c r="N10" s="53"/>
      <c r="O10" s="65" t="s">
        <v>20</v>
      </c>
      <c r="P10" s="66" t="s">
        <v>28</v>
      </c>
      <c r="Q10" s="66" t="s">
        <v>22</v>
      </c>
      <c r="R10" s="65" t="s">
        <v>23</v>
      </c>
      <c r="S10" s="9"/>
      <c r="T10" s="16">
        <v>169.3</v>
      </c>
      <c r="U10" s="16">
        <v>580</v>
      </c>
      <c r="V10" s="16">
        <v>169.3</v>
      </c>
      <c r="W10" s="16">
        <v>600</v>
      </c>
      <c r="X10" s="16">
        <v>169.3</v>
      </c>
      <c r="Y10" s="16">
        <v>620</v>
      </c>
      <c r="AA10" s="67"/>
      <c r="AB10" s="62">
        <v>178.2</v>
      </c>
      <c r="AC10" s="62">
        <v>402</v>
      </c>
      <c r="AD10" s="63"/>
      <c r="AE10" s="62">
        <v>178.2</v>
      </c>
      <c r="AF10" s="62">
        <v>600</v>
      </c>
    </row>
    <row r="11" spans="1:33" ht="30" customHeight="1" x14ac:dyDescent="0.3">
      <c r="A11" s="9"/>
      <c r="B11" s="403" t="s">
        <v>24</v>
      </c>
      <c r="C11" s="404"/>
      <c r="D11" s="404"/>
      <c r="E11" s="405"/>
      <c r="F11" s="403" t="s">
        <v>937</v>
      </c>
      <c r="G11" s="405"/>
      <c r="H11" s="403" t="s">
        <v>938</v>
      </c>
      <c r="I11" s="405"/>
      <c r="J11" s="54"/>
      <c r="K11" s="25" t="s">
        <v>157</v>
      </c>
      <c r="L11" s="22" t="s">
        <v>13</v>
      </c>
      <c r="M11" s="22" t="s">
        <v>14</v>
      </c>
      <c r="N11" s="54"/>
      <c r="O11" s="27" t="s">
        <v>27</v>
      </c>
      <c r="P11" s="68"/>
      <c r="Q11" s="69"/>
      <c r="R11" s="30"/>
      <c r="S11" s="9"/>
      <c r="T11" s="16">
        <v>178.2</v>
      </c>
      <c r="U11" s="16">
        <v>580</v>
      </c>
      <c r="V11" s="16">
        <v>178.2</v>
      </c>
      <c r="W11" s="16">
        <v>600</v>
      </c>
      <c r="X11" s="16">
        <v>178.2</v>
      </c>
      <c r="Y11" s="16">
        <v>620</v>
      </c>
      <c r="AA11" s="61" t="s">
        <v>269</v>
      </c>
      <c r="AB11" s="62">
        <v>164</v>
      </c>
      <c r="AC11" s="62">
        <v>337</v>
      </c>
      <c r="AD11" s="61" t="s">
        <v>270</v>
      </c>
      <c r="AE11" s="62">
        <v>164</v>
      </c>
      <c r="AF11" s="62">
        <v>620</v>
      </c>
    </row>
    <row r="12" spans="1:33" ht="30" customHeight="1" x14ac:dyDescent="0.3">
      <c r="A12" s="9"/>
      <c r="B12" s="31"/>
      <c r="C12" s="32" t="s">
        <v>30</v>
      </c>
      <c r="D12" s="31"/>
      <c r="E12" s="32" t="s">
        <v>31</v>
      </c>
      <c r="F12" s="31"/>
      <c r="G12" s="32" t="s">
        <v>32</v>
      </c>
      <c r="H12" s="31"/>
      <c r="I12" s="32" t="s">
        <v>32</v>
      </c>
      <c r="J12" s="54"/>
      <c r="K12" s="33" t="s">
        <v>257</v>
      </c>
      <c r="L12" s="16"/>
      <c r="M12" s="16"/>
      <c r="N12" s="54"/>
      <c r="O12" s="27" t="s">
        <v>934</v>
      </c>
      <c r="P12" s="70"/>
      <c r="Q12" s="30">
        <v>1.8</v>
      </c>
      <c r="R12" s="30"/>
      <c r="S12" s="9"/>
      <c r="T12" s="16">
        <v>178.2</v>
      </c>
      <c r="U12" s="16">
        <v>337</v>
      </c>
      <c r="V12" s="16">
        <v>178.2</v>
      </c>
      <c r="W12" s="16">
        <v>337</v>
      </c>
      <c r="X12" s="16">
        <v>178.2</v>
      </c>
      <c r="Y12" s="16">
        <v>337</v>
      </c>
      <c r="AA12" s="63"/>
      <c r="AB12" s="62">
        <v>178.2</v>
      </c>
      <c r="AC12" s="62">
        <v>337</v>
      </c>
      <c r="AD12" s="63"/>
      <c r="AE12" s="62">
        <v>178.2</v>
      </c>
      <c r="AF12" s="62">
        <v>620</v>
      </c>
    </row>
    <row r="13" spans="1:33" ht="30" customHeight="1" x14ac:dyDescent="0.3">
      <c r="A13" s="9"/>
      <c r="B13" s="31"/>
      <c r="C13" s="32" t="s">
        <v>33</v>
      </c>
      <c r="D13" s="31"/>
      <c r="E13" s="32" t="s">
        <v>34</v>
      </c>
      <c r="F13" s="31"/>
      <c r="G13" s="32" t="s">
        <v>35</v>
      </c>
      <c r="H13" s="31"/>
      <c r="I13" s="32" t="s">
        <v>35</v>
      </c>
      <c r="J13" s="54"/>
      <c r="K13" s="33" t="s">
        <v>163</v>
      </c>
      <c r="L13" s="16"/>
      <c r="M13" s="16"/>
      <c r="N13" s="54"/>
      <c r="O13" s="27" t="s">
        <v>933</v>
      </c>
      <c r="P13" s="70"/>
      <c r="Q13" s="30">
        <v>1.8</v>
      </c>
      <c r="R13" s="30"/>
      <c r="S13" s="9"/>
    </row>
    <row r="14" spans="1:33" ht="30" customHeight="1" x14ac:dyDescent="0.3">
      <c r="A14" s="9"/>
      <c r="B14" s="31"/>
      <c r="C14" s="32" t="s">
        <v>36</v>
      </c>
      <c r="D14" s="42"/>
      <c r="E14" s="71"/>
      <c r="F14" s="31"/>
      <c r="G14" s="32" t="s">
        <v>37</v>
      </c>
      <c r="H14" s="31"/>
      <c r="I14" s="32" t="s">
        <v>37</v>
      </c>
      <c r="J14" s="52"/>
      <c r="K14" s="33" t="s">
        <v>164</v>
      </c>
      <c r="L14" s="16"/>
      <c r="M14" s="16"/>
      <c r="N14" s="52"/>
      <c r="O14" s="27" t="s">
        <v>40</v>
      </c>
      <c r="P14" s="70"/>
      <c r="Q14" s="30">
        <v>1.53</v>
      </c>
      <c r="R14" s="30"/>
      <c r="S14" s="9"/>
      <c r="T14" s="12"/>
      <c r="U14" s="12"/>
      <c r="V14" s="12"/>
      <c r="W14" s="12"/>
      <c r="X14" s="12"/>
      <c r="Y14" s="12"/>
      <c r="AA14" s="81"/>
      <c r="AB14" s="81"/>
      <c r="AD14" s="85"/>
      <c r="AE14" s="85"/>
      <c r="AF14" s="85"/>
      <c r="AG14" s="85"/>
    </row>
    <row r="15" spans="1:33" ht="30" customHeight="1" x14ac:dyDescent="0.3">
      <c r="A15" s="9"/>
      <c r="B15" s="367" t="s">
        <v>161</v>
      </c>
      <c r="C15" s="367"/>
      <c r="D15" s="367"/>
      <c r="E15" s="367"/>
      <c r="F15" s="367"/>
      <c r="G15" s="367"/>
      <c r="H15" s="367"/>
      <c r="I15" s="367"/>
      <c r="J15" s="53"/>
      <c r="K15" s="398" t="s">
        <v>158</v>
      </c>
      <c r="L15" s="399"/>
      <c r="M15" s="400"/>
      <c r="N15" s="53"/>
      <c r="O15" s="27" t="s">
        <v>275</v>
      </c>
      <c r="P15" s="72"/>
      <c r="Q15" s="30">
        <v>2.2000000000000002</v>
      </c>
      <c r="R15" s="30"/>
      <c r="S15" s="9"/>
      <c r="T15" s="12"/>
      <c r="U15" s="12"/>
      <c r="V15" s="12"/>
      <c r="W15" s="12"/>
      <c r="X15" s="12"/>
      <c r="AB15" s="12"/>
      <c r="AD15" s="85"/>
      <c r="AE15" s="85"/>
      <c r="AF15" s="85"/>
      <c r="AG15" s="85"/>
    </row>
    <row r="16" spans="1:33" ht="30" customHeight="1" x14ac:dyDescent="0.3">
      <c r="A16" s="9"/>
      <c r="B16" s="382" t="s">
        <v>44</v>
      </c>
      <c r="C16" s="382"/>
      <c r="D16" s="344" t="s">
        <v>45</v>
      </c>
      <c r="E16" s="344"/>
      <c r="F16" s="344" t="s">
        <v>46</v>
      </c>
      <c r="G16" s="344"/>
      <c r="H16" s="344" t="s">
        <v>47</v>
      </c>
      <c r="I16" s="344"/>
      <c r="J16" s="54"/>
      <c r="K16" s="33" t="s">
        <v>258</v>
      </c>
      <c r="L16" s="342"/>
      <c r="M16" s="343"/>
      <c r="N16" s="54"/>
      <c r="O16" s="73" t="s">
        <v>56</v>
      </c>
      <c r="P16" s="74"/>
      <c r="Q16" s="75"/>
      <c r="R16" s="30"/>
      <c r="S16" s="9"/>
      <c r="T16" s="12"/>
      <c r="U16" s="86"/>
      <c r="V16" s="86"/>
      <c r="W16" s="12"/>
      <c r="X16" s="12"/>
      <c r="Y16" s="12"/>
      <c r="AB16" s="12"/>
      <c r="AD16" s="85"/>
      <c r="AE16" s="85"/>
      <c r="AF16" s="85"/>
      <c r="AG16" s="85"/>
    </row>
    <row r="17" spans="1:88" s="12" customFormat="1" ht="30" customHeight="1" x14ac:dyDescent="0.3">
      <c r="A17" s="9"/>
      <c r="B17" s="31"/>
      <c r="C17" s="32" t="s">
        <v>50</v>
      </c>
      <c r="D17" s="31"/>
      <c r="E17" s="32" t="s">
        <v>50</v>
      </c>
      <c r="F17" s="31"/>
      <c r="G17" s="76" t="s">
        <v>50</v>
      </c>
      <c r="H17" s="31"/>
      <c r="I17" s="76" t="s">
        <v>51</v>
      </c>
      <c r="J17" s="54"/>
      <c r="K17" s="33" t="s">
        <v>165</v>
      </c>
      <c r="L17" s="342"/>
      <c r="M17" s="343"/>
      <c r="N17" s="54"/>
      <c r="O17" s="27" t="s">
        <v>63</v>
      </c>
      <c r="P17" s="77"/>
      <c r="Q17" s="30">
        <v>1.53</v>
      </c>
      <c r="R17" s="30"/>
      <c r="S17" s="9"/>
      <c r="U17" s="86"/>
      <c r="V17" s="86"/>
      <c r="Z17" s="78"/>
      <c r="AA17" s="78"/>
      <c r="AC17" s="13"/>
      <c r="AD17" s="85"/>
      <c r="AE17" s="85"/>
      <c r="AF17" s="85"/>
      <c r="AG17" s="85"/>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row>
    <row r="18" spans="1:88" s="12" customFormat="1" ht="30" customHeight="1" x14ac:dyDescent="0.3">
      <c r="A18" s="9"/>
      <c r="B18" s="31"/>
      <c r="C18" s="32" t="s">
        <v>54</v>
      </c>
      <c r="D18" s="31"/>
      <c r="E18" s="32" t="s">
        <v>54</v>
      </c>
      <c r="F18" s="31"/>
      <c r="G18" s="32" t="s">
        <v>54</v>
      </c>
      <c r="H18" s="31"/>
      <c r="I18" s="32" t="s">
        <v>55</v>
      </c>
      <c r="J18" s="55"/>
      <c r="K18" s="33" t="s">
        <v>290</v>
      </c>
      <c r="L18" s="342"/>
      <c r="M18" s="343"/>
      <c r="N18" s="55"/>
      <c r="O18" s="73" t="s">
        <v>67</v>
      </c>
      <c r="P18" s="74"/>
      <c r="Q18" s="75"/>
      <c r="R18" s="30"/>
      <c r="S18" s="9"/>
      <c r="T18" s="13"/>
      <c r="U18" s="13"/>
      <c r="V18" s="13"/>
      <c r="W18" s="13"/>
      <c r="X18" s="13"/>
      <c r="Y18" s="13"/>
      <c r="Z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row>
    <row r="19" spans="1:88" s="12" customFormat="1" ht="30" customHeight="1" x14ac:dyDescent="0.3">
      <c r="A19" s="9"/>
      <c r="B19" s="31"/>
      <c r="C19" s="32" t="s">
        <v>61</v>
      </c>
      <c r="D19" s="31"/>
      <c r="E19" s="32" t="s">
        <v>61</v>
      </c>
      <c r="F19" s="31"/>
      <c r="G19" s="32" t="s">
        <v>61</v>
      </c>
      <c r="H19" s="31"/>
      <c r="I19" s="38" t="s">
        <v>62</v>
      </c>
      <c r="J19" s="54"/>
      <c r="K19" s="33" t="s">
        <v>223</v>
      </c>
      <c r="L19" s="342"/>
      <c r="M19" s="343"/>
      <c r="N19" s="54"/>
      <c r="O19" s="415" t="s">
        <v>71</v>
      </c>
      <c r="P19" s="416"/>
      <c r="Q19" s="416"/>
      <c r="R19" s="417"/>
      <c r="S19" s="9"/>
      <c r="T19" s="13"/>
      <c r="U19" s="13"/>
      <c r="V19" s="13"/>
      <c r="Y19" s="13"/>
      <c r="Z19" s="13"/>
      <c r="AC19" s="13"/>
      <c r="AD19" s="81"/>
      <c r="AE19" s="81"/>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row>
    <row r="20" spans="1:88" s="12" customFormat="1" ht="30" customHeight="1" x14ac:dyDescent="0.3">
      <c r="A20" s="9"/>
      <c r="B20" s="31"/>
      <c r="C20" s="32" t="s">
        <v>66</v>
      </c>
      <c r="D20" s="31"/>
      <c r="E20" s="32" t="s">
        <v>66</v>
      </c>
      <c r="F20" s="31"/>
      <c r="G20" s="32" t="s">
        <v>66</v>
      </c>
      <c r="H20" s="31"/>
      <c r="I20" s="32" t="s">
        <v>66</v>
      </c>
      <c r="J20" s="52"/>
      <c r="K20" s="33" t="s">
        <v>932</v>
      </c>
      <c r="L20" s="342"/>
      <c r="M20" s="343"/>
      <c r="N20" s="52"/>
      <c r="O20" s="39" t="s">
        <v>76</v>
      </c>
      <c r="P20" s="79"/>
      <c r="Q20" s="80" t="s">
        <v>77</v>
      </c>
      <c r="R20" s="79"/>
      <c r="S20" s="9"/>
      <c r="T20" s="13"/>
      <c r="U20" s="13"/>
      <c r="V20" s="13"/>
      <c r="Z20" s="13"/>
      <c r="AC20" s="13"/>
      <c r="AD20" s="82"/>
      <c r="AE20" s="8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row>
    <row r="21" spans="1:88" s="12" customFormat="1" ht="30" customHeight="1" x14ac:dyDescent="0.3">
      <c r="A21" s="9"/>
      <c r="B21" s="367" t="s">
        <v>69</v>
      </c>
      <c r="C21" s="367"/>
      <c r="D21" s="367"/>
      <c r="E21" s="367"/>
      <c r="F21" s="367" t="s">
        <v>70</v>
      </c>
      <c r="G21" s="367"/>
      <c r="H21" s="367"/>
      <c r="I21" s="367"/>
      <c r="J21" s="53"/>
      <c r="K21" s="398" t="s">
        <v>150</v>
      </c>
      <c r="L21" s="399"/>
      <c r="M21" s="400"/>
      <c r="N21" s="53"/>
      <c r="O21" s="418" t="s">
        <v>82</v>
      </c>
      <c r="P21" s="418"/>
      <c r="Q21" s="418"/>
      <c r="R21" s="418"/>
      <c r="S21" s="9"/>
      <c r="T21" s="13"/>
      <c r="U21" s="13"/>
      <c r="V21" s="13"/>
      <c r="Z21" s="13"/>
      <c r="AC21" s="13"/>
      <c r="AD21" s="83"/>
      <c r="AE21" s="82"/>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row>
    <row r="22" spans="1:88" s="12" customFormat="1" ht="30" customHeight="1" x14ac:dyDescent="0.3">
      <c r="A22" s="9"/>
      <c r="B22" s="344" t="s">
        <v>73</v>
      </c>
      <c r="C22" s="344"/>
      <c r="D22" s="344"/>
      <c r="E22" s="344"/>
      <c r="F22" s="344" t="s">
        <v>74</v>
      </c>
      <c r="G22" s="344"/>
      <c r="H22" s="344" t="s">
        <v>75</v>
      </c>
      <c r="I22" s="344"/>
      <c r="J22" s="54"/>
      <c r="K22" s="33" t="s">
        <v>936</v>
      </c>
      <c r="L22" s="342"/>
      <c r="M22" s="343"/>
      <c r="N22" s="54"/>
      <c r="O22" s="618"/>
      <c r="P22" s="619"/>
      <c r="Q22" s="619"/>
      <c r="R22" s="620"/>
      <c r="S22" s="9"/>
      <c r="T22" s="13"/>
      <c r="U22" s="13"/>
      <c r="V22" s="13"/>
      <c r="W22" s="13"/>
      <c r="X22" s="13"/>
      <c r="Y22" s="13"/>
      <c r="Z22" s="13"/>
      <c r="AC22" s="13"/>
      <c r="AD22" s="84"/>
      <c r="AE22" s="84"/>
      <c r="AF22" s="13"/>
      <c r="AG22" s="13"/>
      <c r="AH22" s="13"/>
      <c r="AI22" s="13"/>
      <c r="AJ22" s="13"/>
      <c r="AK22" s="13"/>
      <c r="AL22" s="13"/>
      <c r="AM22" s="13"/>
      <c r="AN22" s="13"/>
      <c r="AO22" s="13"/>
      <c r="AP22" s="13"/>
      <c r="AQ22" s="13"/>
      <c r="AR22" s="13"/>
      <c r="AS22" s="13"/>
      <c r="AT22" s="13"/>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c r="BY22" s="13"/>
      <c r="BZ22" s="13"/>
      <c r="CA22" s="13"/>
      <c r="CB22" s="13"/>
      <c r="CC22" s="13"/>
      <c r="CD22" s="13"/>
      <c r="CE22" s="13"/>
      <c r="CF22" s="13"/>
      <c r="CG22" s="13"/>
      <c r="CH22" s="13"/>
      <c r="CI22" s="13"/>
      <c r="CJ22" s="13"/>
    </row>
    <row r="23" spans="1:88" s="12" customFormat="1" ht="30" customHeight="1" x14ac:dyDescent="0.3">
      <c r="A23" s="9"/>
      <c r="B23" s="31"/>
      <c r="C23" s="32" t="s">
        <v>79</v>
      </c>
      <c r="D23" s="87"/>
      <c r="E23" s="32" t="s">
        <v>931</v>
      </c>
      <c r="F23" s="49"/>
      <c r="G23" s="32" t="s">
        <v>80</v>
      </c>
      <c r="H23" s="31"/>
      <c r="I23" s="32" t="s">
        <v>939</v>
      </c>
      <c r="J23" s="54"/>
      <c r="K23" s="33" t="s">
        <v>259</v>
      </c>
      <c r="L23" s="342"/>
      <c r="M23" s="343"/>
      <c r="N23" s="54"/>
      <c r="O23" s="621"/>
      <c r="P23" s="622"/>
      <c r="Q23" s="622"/>
      <c r="R23" s="623"/>
      <c r="S23" s="9"/>
      <c r="T23" s="13"/>
      <c r="U23" s="13"/>
      <c r="V23" s="13"/>
      <c r="Y23" s="13"/>
      <c r="Z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c r="CC23" s="13"/>
      <c r="CD23" s="13"/>
      <c r="CE23" s="13"/>
      <c r="CF23" s="13"/>
      <c r="CG23" s="13"/>
      <c r="CH23" s="13"/>
      <c r="CI23" s="13"/>
      <c r="CJ23" s="13"/>
    </row>
    <row r="24" spans="1:88" s="12" customFormat="1" ht="30" customHeight="1" x14ac:dyDescent="0.3">
      <c r="A24" s="9"/>
      <c r="B24" s="31"/>
      <c r="C24" s="32" t="s">
        <v>83</v>
      </c>
      <c r="D24" s="87"/>
      <c r="E24" s="32" t="s">
        <v>931</v>
      </c>
      <c r="F24" s="31"/>
      <c r="G24" s="32" t="s">
        <v>84</v>
      </c>
      <c r="H24" s="31"/>
      <c r="I24" s="32" t="s">
        <v>940</v>
      </c>
      <c r="J24" s="54"/>
      <c r="K24" s="33" t="s">
        <v>167</v>
      </c>
      <c r="L24" s="342"/>
      <c r="M24" s="343"/>
      <c r="N24" s="54"/>
      <c r="O24" s="621"/>
      <c r="P24" s="622"/>
      <c r="Q24" s="622"/>
      <c r="R24" s="623"/>
      <c r="S24" s="9"/>
      <c r="T24" s="13"/>
      <c r="U24" s="13"/>
      <c r="V24" s="13"/>
      <c r="Z24" s="13"/>
      <c r="AC24" s="13"/>
      <c r="AD24" s="81"/>
      <c r="AE24" s="81"/>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c r="CI24" s="13"/>
      <c r="CJ24" s="13"/>
    </row>
    <row r="25" spans="1:88" s="12" customFormat="1" ht="30" customHeight="1" x14ac:dyDescent="0.3">
      <c r="A25" s="9"/>
      <c r="B25" s="31"/>
      <c r="C25" s="32" t="s">
        <v>92</v>
      </c>
      <c r="D25" s="31"/>
      <c r="E25" s="32" t="s">
        <v>867</v>
      </c>
      <c r="F25" s="31"/>
      <c r="G25" s="32" t="s">
        <v>93</v>
      </c>
      <c r="H25" s="42"/>
      <c r="I25" s="43"/>
      <c r="J25" s="54"/>
      <c r="K25" s="25" t="s">
        <v>156</v>
      </c>
      <c r="L25" s="301" t="s">
        <v>942</v>
      </c>
      <c r="M25" s="301" t="s">
        <v>943</v>
      </c>
      <c r="N25" s="54"/>
      <c r="O25" s="621"/>
      <c r="P25" s="622"/>
      <c r="Q25" s="622"/>
      <c r="R25" s="623"/>
      <c r="S25" s="9"/>
      <c r="T25" s="13"/>
      <c r="U25" s="13"/>
      <c r="V25" s="13"/>
      <c r="Z25" s="13"/>
      <c r="AC25" s="13"/>
      <c r="AD25" s="83"/>
      <c r="AE25" s="82"/>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c r="CD25" s="13"/>
      <c r="CE25" s="13"/>
      <c r="CF25" s="13"/>
      <c r="CG25" s="13"/>
      <c r="CH25" s="13"/>
      <c r="CI25" s="13"/>
      <c r="CJ25" s="13"/>
    </row>
    <row r="26" spans="1:88" s="12" customFormat="1" ht="30" customHeight="1" x14ac:dyDescent="0.3">
      <c r="A26" s="9"/>
      <c r="B26" s="31"/>
      <c r="C26" s="32" t="s">
        <v>102</v>
      </c>
      <c r="D26" s="31"/>
      <c r="E26" s="32" t="s">
        <v>291</v>
      </c>
      <c r="F26" s="31"/>
      <c r="G26" s="32" t="s">
        <v>103</v>
      </c>
      <c r="H26" s="345" t="s">
        <v>104</v>
      </c>
      <c r="I26" s="345"/>
      <c r="J26" s="54"/>
      <c r="K26" s="33" t="s">
        <v>260</v>
      </c>
      <c r="L26" s="16"/>
      <c r="M26" s="16"/>
      <c r="N26" s="54"/>
      <c r="O26" s="621"/>
      <c r="P26" s="622"/>
      <c r="Q26" s="622"/>
      <c r="R26" s="623"/>
      <c r="S26" s="9"/>
      <c r="T26" s="13"/>
      <c r="U26" s="13"/>
      <c r="V26" s="13"/>
      <c r="W26" s="13"/>
      <c r="X26" s="13"/>
      <c r="Y26" s="13"/>
      <c r="Z26" s="13"/>
      <c r="AC26" s="13"/>
      <c r="AD26" s="82"/>
      <c r="AE26" s="8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row>
    <row r="27" spans="1:88" s="12" customFormat="1" ht="30" customHeight="1" x14ac:dyDescent="0.3">
      <c r="A27" s="9"/>
      <c r="B27" s="31"/>
      <c r="C27" s="32" t="s">
        <v>109</v>
      </c>
      <c r="D27" s="31"/>
      <c r="E27" s="32" t="s">
        <v>110</v>
      </c>
      <c r="F27" s="31"/>
      <c r="G27" s="32" t="s">
        <v>111</v>
      </c>
      <c r="H27" s="345" t="s">
        <v>112</v>
      </c>
      <c r="I27" s="345"/>
      <c r="J27" s="52"/>
      <c r="K27" s="33" t="s">
        <v>135</v>
      </c>
      <c r="L27" s="16"/>
      <c r="M27" s="16"/>
      <c r="N27" s="52"/>
      <c r="O27" s="621"/>
      <c r="P27" s="622"/>
      <c r="Q27" s="622"/>
      <c r="R27" s="623"/>
      <c r="S27" s="9"/>
      <c r="T27" s="13"/>
      <c r="U27" s="13"/>
      <c r="V27" s="13"/>
      <c r="W27" s="13"/>
      <c r="X27" s="13"/>
      <c r="Y27" s="13"/>
      <c r="Z27" s="13"/>
      <c r="AB27" s="13"/>
      <c r="AC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row>
    <row r="28" spans="1:88" s="12" customFormat="1" ht="30" customHeight="1" x14ac:dyDescent="0.3">
      <c r="A28" s="9"/>
      <c r="B28" s="364" t="s">
        <v>159</v>
      </c>
      <c r="C28" s="365"/>
      <c r="D28" s="365"/>
      <c r="E28" s="366"/>
      <c r="F28" s="364" t="s">
        <v>160</v>
      </c>
      <c r="G28" s="365"/>
      <c r="H28" s="365"/>
      <c r="I28" s="366"/>
      <c r="J28" s="54"/>
      <c r="K28" s="33" t="s">
        <v>233</v>
      </c>
      <c r="L28" s="16"/>
      <c r="M28" s="16"/>
      <c r="N28" s="54"/>
      <c r="O28" s="621"/>
      <c r="P28" s="622"/>
      <c r="Q28" s="622"/>
      <c r="R28" s="623"/>
      <c r="S28" s="9"/>
      <c r="T28" s="13"/>
      <c r="U28" s="13"/>
      <c r="V28" s="13"/>
      <c r="W28" s="13"/>
      <c r="X28" s="13"/>
      <c r="Y28" s="13"/>
      <c r="Z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c r="CC28" s="13"/>
      <c r="CD28" s="13"/>
      <c r="CE28" s="13"/>
      <c r="CF28" s="13"/>
      <c r="CG28" s="13"/>
      <c r="CH28" s="13"/>
      <c r="CI28" s="13"/>
      <c r="CJ28" s="13"/>
    </row>
    <row r="29" spans="1:88" s="12" customFormat="1" ht="30" customHeight="1" x14ac:dyDescent="0.3">
      <c r="A29" s="9"/>
      <c r="B29" s="31"/>
      <c r="C29" s="32" t="s">
        <v>865</v>
      </c>
      <c r="D29" s="31"/>
      <c r="E29" s="32" t="s">
        <v>866</v>
      </c>
      <c r="F29" s="31"/>
      <c r="G29" s="45" t="s">
        <v>122</v>
      </c>
      <c r="H29" s="31"/>
      <c r="I29" s="45" t="s">
        <v>123</v>
      </c>
      <c r="J29" s="53"/>
      <c r="K29" s="33" t="s">
        <v>255</v>
      </c>
      <c r="L29" s="16"/>
      <c r="M29" s="16"/>
      <c r="N29" s="53"/>
      <c r="O29" s="621"/>
      <c r="P29" s="622"/>
      <c r="Q29" s="622"/>
      <c r="R29" s="623"/>
      <c r="S29" s="9"/>
      <c r="T29" s="85"/>
      <c r="U29" s="85"/>
      <c r="V29" s="85"/>
      <c r="W29" s="85"/>
      <c r="Y29" s="85"/>
      <c r="Z29" s="85"/>
      <c r="AA29" s="85"/>
      <c r="AB29" s="85"/>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row>
    <row r="30" spans="1:88" s="12" customFormat="1" ht="30" customHeight="1" x14ac:dyDescent="0.3">
      <c r="A30" s="9"/>
      <c r="B30" s="367" t="s">
        <v>127</v>
      </c>
      <c r="C30" s="367"/>
      <c r="D30" s="367"/>
      <c r="E30" s="367"/>
      <c r="F30" s="367"/>
      <c r="G30" s="367"/>
      <c r="H30" s="367"/>
      <c r="I30" s="367"/>
      <c r="J30" s="54"/>
      <c r="K30" s="33" t="s">
        <v>237</v>
      </c>
      <c r="L30" s="16"/>
      <c r="M30" s="16"/>
      <c r="N30" s="54"/>
      <c r="O30" s="621"/>
      <c r="P30" s="622"/>
      <c r="Q30" s="622"/>
      <c r="R30" s="623"/>
      <c r="S30" s="9"/>
      <c r="T30" s="85"/>
      <c r="U30" s="85"/>
      <c r="V30" s="85"/>
      <c r="W30" s="85"/>
      <c r="Y30" s="85"/>
      <c r="Z30" s="85"/>
      <c r="AA30" s="85"/>
      <c r="AB30" s="85"/>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row>
    <row r="31" spans="1:88" s="12" customFormat="1" ht="30" customHeight="1" x14ac:dyDescent="0.3">
      <c r="A31" s="9"/>
      <c r="B31" s="313" t="s">
        <v>869</v>
      </c>
      <c r="C31" s="314"/>
      <c r="D31" s="314"/>
      <c r="E31" s="314"/>
      <c r="F31" s="314"/>
      <c r="G31" s="314"/>
      <c r="H31" s="314"/>
      <c r="I31" s="315"/>
      <c r="J31" s="54"/>
      <c r="K31" s="33" t="s">
        <v>402</v>
      </c>
      <c r="L31" s="16"/>
      <c r="M31" s="16"/>
      <c r="N31" s="54"/>
      <c r="O31" s="621"/>
      <c r="P31" s="622"/>
      <c r="Q31" s="622"/>
      <c r="R31" s="623"/>
      <c r="S31" s="9"/>
      <c r="T31" s="85"/>
      <c r="U31" s="85"/>
      <c r="V31" s="85"/>
      <c r="W31" s="85"/>
      <c r="Y31" s="85"/>
      <c r="Z31" s="85"/>
      <c r="AA31" s="85"/>
      <c r="AB31" s="85"/>
      <c r="AC31" s="13"/>
      <c r="AD31" s="85"/>
      <c r="AE31" s="85"/>
      <c r="AF31" s="85"/>
      <c r="AG31" s="85"/>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13"/>
      <c r="CJ31" s="13"/>
    </row>
    <row r="32" spans="1:88" s="12" customFormat="1" ht="30" customHeight="1" x14ac:dyDescent="0.3">
      <c r="A32" s="9"/>
      <c r="B32" s="316"/>
      <c r="C32" s="317"/>
      <c r="D32" s="317"/>
      <c r="E32" s="317"/>
      <c r="F32" s="317"/>
      <c r="G32" s="317"/>
      <c r="H32" s="317"/>
      <c r="I32" s="318"/>
      <c r="J32" s="52"/>
      <c r="K32" s="33" t="s">
        <v>251</v>
      </c>
      <c r="L32" s="16"/>
      <c r="M32" s="16"/>
      <c r="N32" s="52"/>
      <c r="O32" s="621"/>
      <c r="P32" s="622"/>
      <c r="Q32" s="622"/>
      <c r="R32" s="623"/>
      <c r="S32" s="9"/>
      <c r="T32" s="85"/>
      <c r="U32" s="85"/>
      <c r="V32" s="85"/>
      <c r="W32" s="85"/>
      <c r="X32" s="41"/>
      <c r="Y32" s="85"/>
      <c r="Z32" s="85"/>
      <c r="AA32" s="85"/>
      <c r="AB32" s="85"/>
      <c r="AC32" s="13"/>
      <c r="AD32" s="85"/>
      <c r="AE32" s="85"/>
      <c r="AF32" s="85"/>
      <c r="AG32" s="85"/>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13"/>
      <c r="CG32" s="13"/>
      <c r="CH32" s="13"/>
      <c r="CI32" s="13"/>
      <c r="CJ32" s="13"/>
    </row>
    <row r="33" spans="1:27" ht="30" customHeight="1" x14ac:dyDescent="0.3">
      <c r="A33" s="9"/>
      <c r="B33" s="379" t="str">
        <f>IF(B29=U24,"Firma Piloto Supervisor","Firma Piloto Instructor")</f>
        <v>Firma Piloto Supervisor</v>
      </c>
      <c r="C33" s="380"/>
      <c r="D33" s="380"/>
      <c r="E33" s="381"/>
      <c r="F33" s="379" t="s">
        <v>130</v>
      </c>
      <c r="G33" s="380"/>
      <c r="H33" s="380"/>
      <c r="I33" s="381"/>
      <c r="J33" s="56"/>
      <c r="K33" s="346" t="s">
        <v>292</v>
      </c>
      <c r="L33" s="346"/>
      <c r="M33" s="346"/>
      <c r="N33" s="56"/>
      <c r="O33" s="621"/>
      <c r="P33" s="622"/>
      <c r="Q33" s="622"/>
      <c r="R33" s="623"/>
      <c r="S33" s="9"/>
    </row>
    <row r="34" spans="1:27" ht="30" customHeight="1" x14ac:dyDescent="0.3">
      <c r="A34" s="9"/>
      <c r="B34" s="313" t="s">
        <v>870</v>
      </c>
      <c r="C34" s="314"/>
      <c r="D34" s="314"/>
      <c r="E34" s="315"/>
      <c r="F34" s="313" t="s">
        <v>871</v>
      </c>
      <c r="G34" s="314"/>
      <c r="H34" s="314"/>
      <c r="I34" s="315"/>
      <c r="J34" s="56"/>
      <c r="K34" s="369" t="s">
        <v>241</v>
      </c>
      <c r="L34" s="371"/>
      <c r="M34" s="372"/>
      <c r="N34" s="56"/>
      <c r="O34" s="621"/>
      <c r="P34" s="622"/>
      <c r="Q34" s="622"/>
      <c r="R34" s="623"/>
      <c r="S34" s="9"/>
    </row>
    <row r="35" spans="1:27" ht="30" customHeight="1" x14ac:dyDescent="0.3">
      <c r="A35" s="9"/>
      <c r="B35" s="316"/>
      <c r="C35" s="317"/>
      <c r="D35" s="317"/>
      <c r="E35" s="318"/>
      <c r="F35" s="316"/>
      <c r="G35" s="317"/>
      <c r="H35" s="317"/>
      <c r="I35" s="318"/>
      <c r="J35" s="52"/>
      <c r="K35" s="370"/>
      <c r="L35" s="373"/>
      <c r="M35" s="374"/>
      <c r="N35" s="52"/>
      <c r="O35" s="621"/>
      <c r="P35" s="622"/>
      <c r="Q35" s="622"/>
      <c r="R35" s="623"/>
      <c r="S35" s="9"/>
    </row>
    <row r="36" spans="1:27" ht="30" customHeight="1" x14ac:dyDescent="0.3">
      <c r="A36" s="9"/>
      <c r="B36" s="313" t="s">
        <v>872</v>
      </c>
      <c r="C36" s="314"/>
      <c r="D36" s="314"/>
      <c r="E36" s="315"/>
      <c r="F36" s="313" t="s">
        <v>873</v>
      </c>
      <c r="G36" s="314"/>
      <c r="H36" s="314"/>
      <c r="I36" s="315"/>
      <c r="J36" s="56"/>
      <c r="K36" s="313" t="s">
        <v>863</v>
      </c>
      <c r="L36" s="314"/>
      <c r="M36" s="315"/>
      <c r="N36" s="56"/>
      <c r="O36" s="621"/>
      <c r="P36" s="622"/>
      <c r="Q36" s="622"/>
      <c r="R36" s="623"/>
      <c r="S36" s="9"/>
    </row>
    <row r="37" spans="1:27" ht="30" customHeight="1" x14ac:dyDescent="0.3">
      <c r="A37" s="9"/>
      <c r="B37" s="316"/>
      <c r="C37" s="317"/>
      <c r="D37" s="317"/>
      <c r="E37" s="318"/>
      <c r="F37" s="316"/>
      <c r="G37" s="317"/>
      <c r="H37" s="317"/>
      <c r="I37" s="318"/>
      <c r="J37" s="56"/>
      <c r="K37" s="357"/>
      <c r="L37" s="375"/>
      <c r="M37" s="358"/>
      <c r="N37" s="56"/>
      <c r="O37" s="621"/>
      <c r="P37" s="622"/>
      <c r="Q37" s="622"/>
      <c r="R37" s="623"/>
      <c r="S37" s="9"/>
    </row>
    <row r="38" spans="1:27" ht="30" customHeight="1" x14ac:dyDescent="0.3">
      <c r="A38" s="9"/>
      <c r="B38" s="356" t="s">
        <v>65</v>
      </c>
      <c r="C38" s="356"/>
      <c r="D38" s="356"/>
      <c r="E38" s="356"/>
      <c r="F38" s="356" t="s">
        <v>874</v>
      </c>
      <c r="G38" s="356"/>
      <c r="H38" s="356"/>
      <c r="I38" s="356"/>
      <c r="J38" s="56"/>
      <c r="K38" s="357"/>
      <c r="L38" s="375"/>
      <c r="M38" s="358"/>
      <c r="N38" s="56"/>
      <c r="O38" s="621"/>
      <c r="P38" s="622"/>
      <c r="Q38" s="622"/>
      <c r="R38" s="623"/>
      <c r="S38" s="9"/>
    </row>
    <row r="39" spans="1:27" ht="30" customHeight="1" x14ac:dyDescent="0.3">
      <c r="A39" s="9"/>
      <c r="B39" s="377"/>
      <c r="C39" s="377"/>
      <c r="D39" s="377"/>
      <c r="E39" s="377"/>
      <c r="F39" s="377"/>
      <c r="G39" s="377"/>
      <c r="H39" s="377"/>
      <c r="I39" s="377"/>
      <c r="J39" s="56"/>
      <c r="K39" s="316"/>
      <c r="L39" s="317"/>
      <c r="M39" s="318"/>
      <c r="N39" s="56"/>
      <c r="O39" s="621"/>
      <c r="P39" s="622"/>
      <c r="Q39" s="622"/>
      <c r="R39" s="623"/>
      <c r="S39" s="9"/>
    </row>
    <row r="40" spans="1:27" ht="30" customHeight="1" x14ac:dyDescent="0.3">
      <c r="A40" s="9"/>
      <c r="B40" s="378" t="s">
        <v>131</v>
      </c>
      <c r="C40" s="378"/>
      <c r="D40" s="378"/>
      <c r="E40" s="378"/>
      <c r="F40" s="378" t="s">
        <v>131</v>
      </c>
      <c r="G40" s="378"/>
      <c r="H40" s="378"/>
      <c r="I40" s="378"/>
      <c r="J40" s="56"/>
      <c r="K40" s="376" t="str">
        <f>IF(L34="ALTO","Firma","--- // ---")</f>
        <v>--- // ---</v>
      </c>
      <c r="L40" s="376"/>
      <c r="M40" s="376"/>
      <c r="N40" s="56"/>
      <c r="O40" s="621"/>
      <c r="P40" s="622"/>
      <c r="Q40" s="622"/>
      <c r="R40" s="623"/>
      <c r="S40" s="9"/>
    </row>
    <row r="41" spans="1:27" ht="30" customHeight="1" x14ac:dyDescent="0.3">
      <c r="A41" s="9"/>
      <c r="B41" s="378"/>
      <c r="C41" s="378"/>
      <c r="D41" s="378"/>
      <c r="E41" s="378"/>
      <c r="F41" s="378"/>
      <c r="G41" s="378"/>
      <c r="H41" s="378"/>
      <c r="I41" s="378"/>
      <c r="J41" s="56"/>
      <c r="K41" s="376"/>
      <c r="L41" s="376"/>
      <c r="M41" s="376"/>
      <c r="N41" s="56"/>
      <c r="O41" s="621"/>
      <c r="P41" s="622"/>
      <c r="Q41" s="622"/>
      <c r="R41" s="623"/>
      <c r="S41" s="9"/>
    </row>
    <row r="42" spans="1:27" ht="30" customHeight="1" x14ac:dyDescent="0.3">
      <c r="A42" s="9"/>
      <c r="B42" s="378"/>
      <c r="C42" s="378"/>
      <c r="D42" s="378"/>
      <c r="E42" s="378"/>
      <c r="F42" s="378"/>
      <c r="G42" s="378"/>
      <c r="H42" s="378"/>
      <c r="I42" s="378"/>
      <c r="J42" s="57"/>
      <c r="K42" s="376"/>
      <c r="L42" s="376"/>
      <c r="M42" s="376"/>
      <c r="N42" s="57"/>
      <c r="O42" s="621"/>
      <c r="P42" s="622"/>
      <c r="Q42" s="622"/>
      <c r="R42" s="623"/>
      <c r="S42" s="9"/>
    </row>
    <row r="43" spans="1:27" ht="30" customHeight="1" x14ac:dyDescent="0.3">
      <c r="A43" s="9"/>
      <c r="B43" s="378"/>
      <c r="C43" s="378"/>
      <c r="D43" s="378"/>
      <c r="E43" s="378"/>
      <c r="F43" s="378"/>
      <c r="G43" s="378"/>
      <c r="H43" s="378"/>
      <c r="I43" s="378"/>
      <c r="J43" s="57"/>
      <c r="K43" s="376"/>
      <c r="L43" s="376"/>
      <c r="M43" s="376"/>
      <c r="N43" s="57"/>
      <c r="O43" s="621"/>
      <c r="P43" s="622"/>
      <c r="Q43" s="622"/>
      <c r="R43" s="623"/>
      <c r="S43" s="9"/>
    </row>
    <row r="44" spans="1:27" ht="30" customHeight="1" x14ac:dyDescent="0.3">
      <c r="A44" s="9"/>
      <c r="B44" s="608" t="s">
        <v>293</v>
      </c>
      <c r="C44" s="608"/>
      <c r="D44" s="608"/>
      <c r="E44" s="608"/>
      <c r="F44" s="608" t="s">
        <v>293</v>
      </c>
      <c r="G44" s="608"/>
      <c r="H44" s="608"/>
      <c r="I44" s="608"/>
      <c r="J44" s="52"/>
      <c r="K44" s="608" t="s">
        <v>293</v>
      </c>
      <c r="L44" s="608"/>
      <c r="M44" s="608"/>
      <c r="N44" s="52"/>
      <c r="O44" s="621"/>
      <c r="P44" s="622"/>
      <c r="Q44" s="622"/>
      <c r="R44" s="623"/>
      <c r="S44" s="9"/>
    </row>
    <row r="45" spans="1:27" ht="30" customHeight="1" x14ac:dyDescent="0.3">
      <c r="A45" s="9"/>
      <c r="B45" s="608" t="s">
        <v>32</v>
      </c>
      <c r="C45" s="608"/>
      <c r="D45" s="608"/>
      <c r="E45" s="608"/>
      <c r="F45" s="608" t="s">
        <v>32</v>
      </c>
      <c r="G45" s="608"/>
      <c r="H45" s="608"/>
      <c r="I45" s="608"/>
      <c r="J45" s="58"/>
      <c r="K45" s="608" t="s">
        <v>32</v>
      </c>
      <c r="L45" s="608"/>
      <c r="M45" s="608"/>
      <c r="N45" s="58"/>
      <c r="O45" s="624"/>
      <c r="P45" s="625"/>
      <c r="Q45" s="625"/>
      <c r="R45" s="626"/>
      <c r="S45" s="9"/>
    </row>
    <row r="46" spans="1:27" ht="30" customHeight="1" x14ac:dyDescent="0.3">
      <c r="A46" s="9"/>
      <c r="B46" s="10"/>
      <c r="C46" s="9"/>
      <c r="D46" s="10"/>
      <c r="E46" s="9"/>
      <c r="F46" s="10"/>
      <c r="G46" s="9"/>
      <c r="H46" s="10"/>
      <c r="I46" s="9"/>
      <c r="J46" s="9"/>
      <c r="K46" s="9"/>
      <c r="L46" s="9"/>
      <c r="M46" s="9"/>
      <c r="N46" s="9"/>
      <c r="O46" s="11"/>
      <c r="P46" s="9"/>
      <c r="Q46" s="9"/>
      <c r="R46" s="9"/>
      <c r="S46" s="9"/>
    </row>
    <row r="47" spans="1:27" ht="30" hidden="1" customHeight="1" x14ac:dyDescent="0.3">
      <c r="A47" s="9"/>
      <c r="B47" s="10"/>
      <c r="C47" s="9"/>
      <c r="D47" s="10"/>
      <c r="E47" s="9"/>
      <c r="F47" s="10"/>
      <c r="G47" s="9"/>
      <c r="H47" s="10"/>
      <c r="I47" s="9"/>
      <c r="J47" s="9"/>
      <c r="K47" s="9"/>
      <c r="L47" s="9"/>
      <c r="M47" s="9"/>
      <c r="N47" s="9"/>
      <c r="O47" s="9"/>
      <c r="P47" s="9"/>
      <c r="Q47" s="9"/>
      <c r="R47" s="9"/>
      <c r="S47" s="9"/>
    </row>
    <row r="48" spans="1:27" ht="30" hidden="1" customHeight="1" x14ac:dyDescent="0.3">
      <c r="AA48" s="13"/>
    </row>
    <row r="49" spans="27:27" ht="30" hidden="1" customHeight="1" x14ac:dyDescent="0.3">
      <c r="AA49" s="13"/>
    </row>
    <row r="50" spans="27:27" ht="30" hidden="1" customHeight="1" x14ac:dyDescent="0.3">
      <c r="AA50" s="13"/>
    </row>
    <row r="51" spans="27:27" ht="30" hidden="1" customHeight="1" x14ac:dyDescent="0.3">
      <c r="AA51" s="13"/>
    </row>
    <row r="52" spans="27:27" ht="30" hidden="1" customHeight="1" x14ac:dyDescent="0.3">
      <c r="AA52" s="13"/>
    </row>
    <row r="53" spans="27:27" ht="30" hidden="1" customHeight="1" x14ac:dyDescent="0.3">
      <c r="AA53" s="13"/>
    </row>
    <row r="54" spans="27:27" ht="30" hidden="1" customHeight="1" x14ac:dyDescent="0.3">
      <c r="AA54" s="13"/>
    </row>
    <row r="55" spans="27:27" ht="30" hidden="1" customHeight="1" x14ac:dyDescent="0.3">
      <c r="AA55" s="13"/>
    </row>
    <row r="56" spans="27:27" ht="30" hidden="1" customHeight="1" x14ac:dyDescent="0.3">
      <c r="AA56" s="13"/>
    </row>
    <row r="57" spans="27:27" ht="30" hidden="1" customHeight="1" x14ac:dyDescent="0.3">
      <c r="AA57" s="13"/>
    </row>
    <row r="58" spans="27:27" ht="30" hidden="1" customHeight="1" x14ac:dyDescent="0.3">
      <c r="AA58" s="13"/>
    </row>
    <row r="59" spans="27:27" ht="30" hidden="1" customHeight="1" x14ac:dyDescent="0.3">
      <c r="AA59" s="13"/>
    </row>
    <row r="60" spans="27:27" ht="30" hidden="1" customHeight="1" x14ac:dyDescent="0.3">
      <c r="AA60" s="13"/>
    </row>
    <row r="61" spans="27:27" ht="30" hidden="1" customHeight="1" x14ac:dyDescent="0.3">
      <c r="AA61" s="13"/>
    </row>
    <row r="62" spans="27:27" ht="30" hidden="1" customHeight="1" x14ac:dyDescent="0.3">
      <c r="AA62" s="13"/>
    </row>
    <row r="63" spans="27:27" ht="30" hidden="1" customHeight="1" x14ac:dyDescent="0.3">
      <c r="AA63" s="13"/>
    </row>
    <row r="64" spans="27:27" ht="30" hidden="1" customHeight="1" x14ac:dyDescent="0.3">
      <c r="AA64" s="13"/>
    </row>
    <row r="65" spans="27:27" ht="30" hidden="1" customHeight="1" x14ac:dyDescent="0.3">
      <c r="AA65" s="13"/>
    </row>
    <row r="66" spans="27:27" ht="30" hidden="1" customHeight="1" x14ac:dyDescent="0.3">
      <c r="AA66" s="13"/>
    </row>
    <row r="67" spans="27:27" ht="30" hidden="1" customHeight="1" x14ac:dyDescent="0.3">
      <c r="AA67" s="13"/>
    </row>
    <row r="68" spans="27:27" ht="30" hidden="1" customHeight="1" x14ac:dyDescent="0.3">
      <c r="AA68" s="13"/>
    </row>
    <row r="69" spans="27:27" ht="30" hidden="1" customHeight="1" x14ac:dyDescent="0.3">
      <c r="AA69" s="13"/>
    </row>
    <row r="70" spans="27:27" ht="30" hidden="1" customHeight="1" x14ac:dyDescent="0.3">
      <c r="AA70" s="13"/>
    </row>
    <row r="71" spans="27:27" ht="30" hidden="1" customHeight="1" x14ac:dyDescent="0.3">
      <c r="AA71" s="13"/>
    </row>
    <row r="72" spans="27:27" ht="30" hidden="1" customHeight="1" x14ac:dyDescent="0.3">
      <c r="AA72" s="13"/>
    </row>
    <row r="73" spans="27:27" ht="30" hidden="1" customHeight="1" x14ac:dyDescent="0.3">
      <c r="AA73" s="13"/>
    </row>
    <row r="74" spans="27:27" ht="30" hidden="1" customHeight="1" x14ac:dyDescent="0.3">
      <c r="AA74" s="13"/>
    </row>
    <row r="75" spans="27:27" ht="30" hidden="1" customHeight="1" x14ac:dyDescent="0.3">
      <c r="AA75" s="13"/>
    </row>
    <row r="76" spans="27:27" ht="30" hidden="1" customHeight="1" x14ac:dyDescent="0.3">
      <c r="AA76" s="13"/>
    </row>
    <row r="77" spans="27:27" ht="30" hidden="1" customHeight="1" x14ac:dyDescent="0.3">
      <c r="AA77" s="13"/>
    </row>
    <row r="78" spans="27:27" ht="30" hidden="1" customHeight="1" x14ac:dyDescent="0.3">
      <c r="AA78" s="13"/>
    </row>
    <row r="79" spans="27:27" ht="30" hidden="1" customHeight="1" x14ac:dyDescent="0.3">
      <c r="AA79" s="13"/>
    </row>
    <row r="80" spans="27:27" ht="30" hidden="1" customHeight="1" x14ac:dyDescent="0.3">
      <c r="AA80" s="13"/>
    </row>
    <row r="81" spans="27:27" ht="30" hidden="1" customHeight="1" x14ac:dyDescent="0.3">
      <c r="AA81" s="13"/>
    </row>
    <row r="82" spans="27:27" ht="30" hidden="1" customHeight="1" x14ac:dyDescent="0.3">
      <c r="AA82" s="13"/>
    </row>
  </sheetData>
  <sheetProtection algorithmName="SHA-512" hashValue="etu6+GRTEvPcPaCEdcym/8YyGUALMdntgKvVQAqTBhG7QkTJPa4gM5nEAe2RKAaC7k1/abUuzNYCSumyh+gBRw==" saltValue="3Zsoyu7tM9BIYo8MA+VvLA==" spinCount="100000" sheet="1" objects="1" scenarios="1" selectLockedCells="1" selectUnlockedCells="1"/>
  <mergeCells count="71">
    <mergeCell ref="K10:M10"/>
    <mergeCell ref="K44:M44"/>
    <mergeCell ref="K45:M45"/>
    <mergeCell ref="B38:E39"/>
    <mergeCell ref="F38:I39"/>
    <mergeCell ref="B40:E43"/>
    <mergeCell ref="F40:I43"/>
    <mergeCell ref="K40:M43"/>
    <mergeCell ref="B44:E44"/>
    <mergeCell ref="F44:I44"/>
    <mergeCell ref="B45:E45"/>
    <mergeCell ref="B34:E35"/>
    <mergeCell ref="B22:E22"/>
    <mergeCell ref="F22:G22"/>
    <mergeCell ref="H22:I22"/>
    <mergeCell ref="F34:I35"/>
    <mergeCell ref="L22:M22"/>
    <mergeCell ref="O22:R45"/>
    <mergeCell ref="L23:M23"/>
    <mergeCell ref="L24:M24"/>
    <mergeCell ref="H26:I26"/>
    <mergeCell ref="H27:I27"/>
    <mergeCell ref="K36:M39"/>
    <mergeCell ref="F45:I45"/>
    <mergeCell ref="K34:K35"/>
    <mergeCell ref="L34:M35"/>
    <mergeCell ref="F33:I33"/>
    <mergeCell ref="K33:M33"/>
    <mergeCell ref="B28:E28"/>
    <mergeCell ref="F28:I28"/>
    <mergeCell ref="B30:I30"/>
    <mergeCell ref="B36:E37"/>
    <mergeCell ref="F36:I37"/>
    <mergeCell ref="B31:I32"/>
    <mergeCell ref="B33:E33"/>
    <mergeCell ref="L20:M20"/>
    <mergeCell ref="B21:E21"/>
    <mergeCell ref="F21:I21"/>
    <mergeCell ref="K21:M21"/>
    <mergeCell ref="O21:R21"/>
    <mergeCell ref="L17:M17"/>
    <mergeCell ref="L18:M18"/>
    <mergeCell ref="L19:M19"/>
    <mergeCell ref="O19:R19"/>
    <mergeCell ref="B15:I15"/>
    <mergeCell ref="K15:M15"/>
    <mergeCell ref="B16:C16"/>
    <mergeCell ref="D16:E16"/>
    <mergeCell ref="F16:G16"/>
    <mergeCell ref="H16:I16"/>
    <mergeCell ref="L16:M16"/>
    <mergeCell ref="B10:I10"/>
    <mergeCell ref="B11:E11"/>
    <mergeCell ref="F11:G11"/>
    <mergeCell ref="H11:I11"/>
    <mergeCell ref="B9:C9"/>
    <mergeCell ref="D9:E9"/>
    <mergeCell ref="F9:G9"/>
    <mergeCell ref="H9:I9"/>
    <mergeCell ref="B2:C5"/>
    <mergeCell ref="D4:Q5"/>
    <mergeCell ref="L9:M9"/>
    <mergeCell ref="P9:R9"/>
    <mergeCell ref="B7:R7"/>
    <mergeCell ref="B8:C8"/>
    <mergeCell ref="D8:E8"/>
    <mergeCell ref="F8:G8"/>
    <mergeCell ref="H8:I8"/>
    <mergeCell ref="L8:M8"/>
    <mergeCell ref="D2:Q2"/>
    <mergeCell ref="D3:Q3"/>
  </mergeCells>
  <dataValidations count="2">
    <dataValidation operator="equal" allowBlank="1" showInputMessage="1" showErrorMessage="1" sqref="P9:R9" xr:uid="{15776A90-370C-D846-B579-41C60C30AB5E}"/>
    <dataValidation type="list" allowBlank="1" showInputMessage="1" showErrorMessage="1" sqref="N8" xr:uid="{87FC3367-1A15-1840-AB01-549C27FE097B}">
      <formula1>#REF!</formula1>
    </dataValidation>
  </dataValidations>
  <printOptions horizontalCentered="1" verticalCentered="1"/>
  <pageMargins left="0.23622047244094491" right="0.23622047244094491" top="0.39370078740157483" bottom="0.39370078740157483" header="0.31496062992125984" footer="0.31496062992125984"/>
  <pageSetup scale="44"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BCB7B-51C3-AB44-B2EE-8920CD6721BB}">
  <sheetPr>
    <tabColor rgb="FFFF0000"/>
    <pageSetUpPr fitToPage="1"/>
  </sheetPr>
  <dimension ref="A1:BA338"/>
  <sheetViews>
    <sheetView topLeftCell="AH255" zoomScale="80" zoomScaleNormal="80" workbookViewId="0">
      <selection activeCell="AH262" sqref="A262:XFD1048576"/>
    </sheetView>
  </sheetViews>
  <sheetFormatPr baseColWidth="10" defaultColWidth="0" defaultRowHeight="39.9" customHeight="1" zeroHeight="1" x14ac:dyDescent="0.3"/>
  <cols>
    <col min="1" max="1" width="31.88671875" style="85" customWidth="1"/>
    <col min="2" max="7" width="15" style="85" customWidth="1"/>
    <col min="8" max="8" width="3.33203125" style="85" customWidth="1"/>
    <col min="9" max="9" width="11.44140625" style="85" customWidth="1"/>
    <col min="10" max="10" width="10.88671875" style="85" customWidth="1"/>
    <col min="11" max="12" width="11.44140625" style="85" customWidth="1"/>
    <col min="13" max="15" width="22.109375" style="85" customWidth="1"/>
    <col min="16" max="16" width="3.6640625" customWidth="1"/>
    <col min="17" max="17" width="10.88671875" customWidth="1"/>
    <col min="18" max="24" width="6.33203125" customWidth="1"/>
    <col min="25" max="25" width="6.109375" customWidth="1"/>
    <col min="26" max="26" width="33.33203125" customWidth="1"/>
    <col min="27" max="32" width="16.6640625" customWidth="1"/>
    <col min="33" max="33" width="6.109375" style="12" customWidth="1"/>
    <col min="34" max="34" width="6.109375" customWidth="1"/>
    <col min="35" max="35" width="12.44140625" customWidth="1"/>
    <col min="36" max="36" width="14.44140625" customWidth="1"/>
    <col min="37" max="37" width="10.88671875" customWidth="1"/>
    <col min="38" max="38" width="15.44140625" customWidth="1"/>
    <col min="39" max="39" width="22.44140625" customWidth="1"/>
    <col min="40" max="40" width="28.44140625" customWidth="1"/>
    <col min="41" max="41" width="78.109375" customWidth="1"/>
    <col min="42" max="42" width="67.109375" customWidth="1"/>
    <col min="43" max="43" width="71.44140625" customWidth="1"/>
    <col min="44" max="44" width="10.88671875" style="81" customWidth="1"/>
    <col min="45" max="46" width="10.88671875" customWidth="1"/>
    <col min="47" max="53" width="0" hidden="1" customWidth="1"/>
    <col min="54" max="16384" width="10.88671875" hidden="1"/>
  </cols>
  <sheetData>
    <row r="1" spans="1:53" ht="39.9" customHeight="1" x14ac:dyDescent="0.3">
      <c r="A1" s="111"/>
      <c r="B1" s="111"/>
      <c r="C1" s="111"/>
      <c r="D1" s="111"/>
      <c r="E1" s="111"/>
      <c r="F1" s="111"/>
      <c r="G1" s="111"/>
      <c r="AH1" t="s">
        <v>558</v>
      </c>
    </row>
    <row r="2" spans="1:53" ht="39.9" customHeight="1" x14ac:dyDescent="0.3">
      <c r="A2" s="106"/>
      <c r="B2" s="112" t="s">
        <v>415</v>
      </c>
      <c r="C2" s="35" t="s">
        <v>416</v>
      </c>
      <c r="D2" s="35" t="s">
        <v>417</v>
      </c>
      <c r="E2" s="35" t="s">
        <v>418</v>
      </c>
      <c r="F2" s="35" t="s">
        <v>419</v>
      </c>
      <c r="G2" s="35" t="s">
        <v>420</v>
      </c>
      <c r="I2" s="35"/>
      <c r="J2" s="35" t="s">
        <v>558</v>
      </c>
      <c r="K2" s="35" t="s">
        <v>421</v>
      </c>
      <c r="L2" s="35" t="s">
        <v>422</v>
      </c>
      <c r="M2" s="35" t="s">
        <v>423</v>
      </c>
      <c r="N2" s="35" t="s">
        <v>424</v>
      </c>
      <c r="O2" s="35" t="s">
        <v>425</v>
      </c>
      <c r="Q2" s="113"/>
      <c r="R2" s="35" t="s">
        <v>406</v>
      </c>
      <c r="S2" s="35" t="s">
        <v>407</v>
      </c>
      <c r="T2" s="35" t="s">
        <v>408</v>
      </c>
      <c r="U2" s="22" t="s">
        <v>409</v>
      </c>
      <c r="V2" s="22" t="s">
        <v>410</v>
      </c>
      <c r="W2" s="22" t="s">
        <v>412</v>
      </c>
      <c r="X2" s="22" t="s">
        <v>411</v>
      </c>
      <c r="Z2" s="22">
        <v>1</v>
      </c>
      <c r="AA2" s="16" t="s">
        <v>479</v>
      </c>
      <c r="AB2" s="16" t="s">
        <v>487</v>
      </c>
      <c r="AC2" s="114" t="s">
        <v>435</v>
      </c>
      <c r="AD2" s="16" t="s">
        <v>478</v>
      </c>
      <c r="AE2" s="115" t="s">
        <v>489</v>
      </c>
      <c r="AF2" s="116"/>
      <c r="AG2" s="12">
        <f>7*10</f>
        <v>70</v>
      </c>
      <c r="AI2" s="22" t="s">
        <v>518</v>
      </c>
      <c r="AJ2" s="35" t="s">
        <v>495</v>
      </c>
      <c r="AK2" s="35" t="s">
        <v>414</v>
      </c>
      <c r="AL2" s="35" t="s">
        <v>496</v>
      </c>
      <c r="AM2" s="35" t="s">
        <v>496</v>
      </c>
      <c r="AN2" s="35" t="s">
        <v>497</v>
      </c>
      <c r="AO2" s="418" t="s">
        <v>517</v>
      </c>
      <c r="AP2" s="418"/>
      <c r="AQ2" s="35" t="s">
        <v>513</v>
      </c>
      <c r="AR2" s="35">
        <v>122.9</v>
      </c>
      <c r="AS2" s="35" t="s">
        <v>495</v>
      </c>
      <c r="AZ2" s="117"/>
      <c r="BA2" s="117"/>
    </row>
    <row r="3" spans="1:53" ht="39.9" customHeight="1" x14ac:dyDescent="0.3">
      <c r="A3" s="112" t="s">
        <v>426</v>
      </c>
      <c r="B3" s="106"/>
      <c r="C3" s="112" t="s">
        <v>427</v>
      </c>
      <c r="D3" s="112" t="s">
        <v>428</v>
      </c>
      <c r="E3" s="112" t="s">
        <v>429</v>
      </c>
      <c r="F3" s="112" t="s">
        <v>430</v>
      </c>
      <c r="G3" s="112" t="s">
        <v>413</v>
      </c>
      <c r="H3" s="111"/>
      <c r="I3" s="114" t="s">
        <v>431</v>
      </c>
      <c r="J3" s="114">
        <v>2</v>
      </c>
      <c r="K3" s="118">
        <v>2</v>
      </c>
      <c r="L3" s="106" t="s">
        <v>431</v>
      </c>
      <c r="M3" s="106" t="s">
        <v>432</v>
      </c>
      <c r="N3" s="106" t="s">
        <v>433</v>
      </c>
      <c r="O3" s="106" t="str">
        <f>CONCATENATE(M3,$J$2,N3)</f>
        <v>Extremadamente Improbable Insignificante</v>
      </c>
      <c r="Q3" s="35" t="s">
        <v>364</v>
      </c>
      <c r="R3" s="119" t="str">
        <f>AL3</f>
        <v>3E</v>
      </c>
      <c r="S3" s="119" t="str">
        <f>AL4</f>
        <v>3D</v>
      </c>
      <c r="T3" s="119" t="str">
        <f>AL5</f>
        <v>1B</v>
      </c>
      <c r="U3" s="119" t="str">
        <f>AL6</f>
        <v>2E</v>
      </c>
      <c r="V3" s="119" t="str">
        <f>AL7</f>
        <v>1B</v>
      </c>
      <c r="W3" s="119" t="str">
        <f>AL8</f>
        <v>2C</v>
      </c>
      <c r="X3" s="119" t="str">
        <f>AL9</f>
        <v>2E</v>
      </c>
      <c r="Z3" s="22">
        <v>2</v>
      </c>
      <c r="AA3" s="16" t="s">
        <v>480</v>
      </c>
      <c r="AB3" s="16" t="s">
        <v>488</v>
      </c>
      <c r="AC3" s="114" t="s">
        <v>444</v>
      </c>
      <c r="AD3" s="16" t="s">
        <v>478</v>
      </c>
      <c r="AE3" s="120" t="s">
        <v>489</v>
      </c>
      <c r="AF3" s="116"/>
      <c r="AG3" s="12">
        <f>AG2/5</f>
        <v>14</v>
      </c>
      <c r="AI3" s="121" t="str">
        <f t="shared" ref="AI3:AI34" si="0">CONCATENATE(AJ3,"-",AK3)</f>
        <v>SKAG-MACA</v>
      </c>
      <c r="AJ3" s="112" t="s">
        <v>364</v>
      </c>
      <c r="AK3" s="112" t="s">
        <v>406</v>
      </c>
      <c r="AL3" s="122" t="s">
        <v>451</v>
      </c>
      <c r="AM3" s="112" t="str">
        <f>VLOOKUP(AL3,$I$3:$O$27,7,FALSE)</f>
        <v>Remoto Catastrófico</v>
      </c>
      <c r="AN3" s="112" t="s">
        <v>498</v>
      </c>
      <c r="AO3" s="123" t="s">
        <v>702</v>
      </c>
      <c r="AP3" s="124" t="s">
        <v>553</v>
      </c>
      <c r="AQ3" s="124" t="s">
        <v>851</v>
      </c>
      <c r="AR3" s="14" t="s">
        <v>11</v>
      </c>
      <c r="AS3" s="112" t="s">
        <v>364</v>
      </c>
      <c r="AZ3" s="117"/>
      <c r="BA3" s="117"/>
    </row>
    <row r="4" spans="1:53" ht="39.9" customHeight="1" x14ac:dyDescent="0.3">
      <c r="A4" s="35" t="s">
        <v>434</v>
      </c>
      <c r="B4" s="112">
        <v>5</v>
      </c>
      <c r="C4" s="114" t="s">
        <v>435</v>
      </c>
      <c r="D4" s="114" t="s">
        <v>436</v>
      </c>
      <c r="E4" s="114" t="s">
        <v>437</v>
      </c>
      <c r="F4" s="114" t="s">
        <v>438</v>
      </c>
      <c r="G4" s="114" t="s">
        <v>439</v>
      </c>
      <c r="I4" s="114" t="s">
        <v>440</v>
      </c>
      <c r="J4" s="114">
        <v>3</v>
      </c>
      <c r="K4" s="118">
        <v>3.4</v>
      </c>
      <c r="L4" s="106" t="s">
        <v>440</v>
      </c>
      <c r="M4" s="106" t="s">
        <v>441</v>
      </c>
      <c r="N4" s="106" t="s">
        <v>433</v>
      </c>
      <c r="O4" s="106" t="str">
        <f t="shared" ref="O4:O27" si="1">CONCATENATE(M4,$J$2,N4)</f>
        <v>Improbable Insignificante</v>
      </c>
      <c r="Q4" s="35" t="s">
        <v>342</v>
      </c>
      <c r="R4" s="119" t="str">
        <f>AL10</f>
        <v>3E</v>
      </c>
      <c r="S4" s="119" t="str">
        <f>AL11</f>
        <v>4D</v>
      </c>
      <c r="T4" s="119" t="str">
        <f>AL12</f>
        <v>4B</v>
      </c>
      <c r="U4" s="119" t="str">
        <f>AL13</f>
        <v>2E</v>
      </c>
      <c r="V4" s="119" t="str">
        <f>AL14</f>
        <v>5B</v>
      </c>
      <c r="W4" s="119" t="str">
        <f>AL15</f>
        <v>3C</v>
      </c>
      <c r="X4" s="119" t="str">
        <f>AL16</f>
        <v>2D</v>
      </c>
      <c r="Z4" s="22">
        <v>3</v>
      </c>
      <c r="AA4" s="16" t="s">
        <v>481</v>
      </c>
      <c r="AB4" s="16" t="s">
        <v>486</v>
      </c>
      <c r="AC4" s="114" t="s">
        <v>453</v>
      </c>
      <c r="AD4" s="16" t="s">
        <v>478</v>
      </c>
      <c r="AE4" s="125" t="s">
        <v>489</v>
      </c>
      <c r="AF4" s="116"/>
      <c r="AI4" s="121" t="str">
        <f t="shared" si="0"/>
        <v>SKAG-BASH</v>
      </c>
      <c r="AJ4" s="112" t="s">
        <v>364</v>
      </c>
      <c r="AK4" s="112" t="s">
        <v>407</v>
      </c>
      <c r="AL4" s="122" t="s">
        <v>452</v>
      </c>
      <c r="AM4" s="112" t="str">
        <f t="shared" ref="AM4:AM67" si="2">VLOOKUP(AL4,$I$3:$O$27,7,FALSE)</f>
        <v>Remoto Peligroso</v>
      </c>
      <c r="AN4" s="112" t="s">
        <v>499</v>
      </c>
      <c r="AO4" s="123" t="s">
        <v>551</v>
      </c>
      <c r="AP4" s="124" t="s">
        <v>550</v>
      </c>
      <c r="AQ4" s="124" t="s">
        <v>852</v>
      </c>
      <c r="AR4" s="14" t="s">
        <v>11</v>
      </c>
      <c r="AS4" s="112" t="s">
        <v>364</v>
      </c>
      <c r="AZ4" s="117"/>
      <c r="BA4" s="117"/>
    </row>
    <row r="5" spans="1:53" ht="39.9" customHeight="1" x14ac:dyDescent="0.3">
      <c r="A5" s="35" t="s">
        <v>442</v>
      </c>
      <c r="B5" s="112">
        <v>4</v>
      </c>
      <c r="C5" s="114" t="s">
        <v>443</v>
      </c>
      <c r="D5" s="114" t="s">
        <v>444</v>
      </c>
      <c r="E5" s="114" t="s">
        <v>445</v>
      </c>
      <c r="F5" s="114" t="s">
        <v>446</v>
      </c>
      <c r="G5" s="114" t="s">
        <v>447</v>
      </c>
      <c r="I5" s="114" t="s">
        <v>448</v>
      </c>
      <c r="J5" s="114">
        <v>4</v>
      </c>
      <c r="K5" s="118">
        <v>4.25</v>
      </c>
      <c r="L5" s="106" t="s">
        <v>448</v>
      </c>
      <c r="M5" s="106" t="s">
        <v>449</v>
      </c>
      <c r="N5" s="106" t="s">
        <v>433</v>
      </c>
      <c r="O5" s="106" t="str">
        <f t="shared" si="1"/>
        <v>Remoto Insignificante</v>
      </c>
      <c r="Q5" s="35" t="s">
        <v>343</v>
      </c>
      <c r="R5" s="119" t="str">
        <f>AL17</f>
        <v>3E</v>
      </c>
      <c r="S5" s="119" t="str">
        <f>AL18</f>
        <v>3D</v>
      </c>
      <c r="T5" s="119" t="str">
        <f>AL19</f>
        <v>1B</v>
      </c>
      <c r="U5" s="119" t="str">
        <f>AL20</f>
        <v>2E</v>
      </c>
      <c r="V5" s="119" t="str">
        <f>AL21</f>
        <v>2B</v>
      </c>
      <c r="W5" s="119" t="str">
        <f>AL22</f>
        <v>2C</v>
      </c>
      <c r="X5" s="119" t="str">
        <f>AL23</f>
        <v>2D</v>
      </c>
      <c r="Z5" s="22">
        <v>4</v>
      </c>
      <c r="AA5" s="16" t="s">
        <v>482</v>
      </c>
      <c r="AB5" s="16" t="s">
        <v>485</v>
      </c>
      <c r="AC5" s="114" t="s">
        <v>460</v>
      </c>
      <c r="AD5" s="16" t="s">
        <v>478</v>
      </c>
      <c r="AE5" s="126" t="s">
        <v>489</v>
      </c>
      <c r="AF5" s="116"/>
      <c r="AG5" s="12">
        <v>0</v>
      </c>
      <c r="AI5" s="121" t="str">
        <f t="shared" si="0"/>
        <v>SKAG-GAP</v>
      </c>
      <c r="AJ5" s="112" t="s">
        <v>364</v>
      </c>
      <c r="AK5" s="112" t="s">
        <v>408</v>
      </c>
      <c r="AL5" s="122" t="s">
        <v>466</v>
      </c>
      <c r="AM5" s="112" t="str">
        <f t="shared" si="2"/>
        <v>Extremadamente Improbable Leve</v>
      </c>
      <c r="AN5" s="112" t="s">
        <v>500</v>
      </c>
      <c r="AO5" s="123" t="s">
        <v>521</v>
      </c>
      <c r="AP5" s="124" t="s">
        <v>701</v>
      </c>
      <c r="AQ5" s="124" t="s">
        <v>853</v>
      </c>
      <c r="AR5" s="14" t="s">
        <v>11</v>
      </c>
      <c r="AS5" s="112" t="s">
        <v>364</v>
      </c>
      <c r="AZ5" s="117"/>
      <c r="BA5" s="117"/>
    </row>
    <row r="6" spans="1:53" ht="39.9" customHeight="1" x14ac:dyDescent="0.3">
      <c r="A6" s="35" t="s">
        <v>450</v>
      </c>
      <c r="B6" s="112">
        <v>3</v>
      </c>
      <c r="C6" s="114" t="s">
        <v>451</v>
      </c>
      <c r="D6" s="114" t="s">
        <v>452</v>
      </c>
      <c r="E6" s="114" t="s">
        <v>453</v>
      </c>
      <c r="F6" s="114" t="s">
        <v>454</v>
      </c>
      <c r="G6" s="114" t="s">
        <v>448</v>
      </c>
      <c r="I6" s="114" t="s">
        <v>447</v>
      </c>
      <c r="J6" s="114">
        <v>5</v>
      </c>
      <c r="K6" s="118">
        <v>5.2</v>
      </c>
      <c r="L6" s="106" t="s">
        <v>447</v>
      </c>
      <c r="M6" s="106" t="s">
        <v>455</v>
      </c>
      <c r="N6" s="106" t="s">
        <v>433</v>
      </c>
      <c r="O6" s="106" t="str">
        <f t="shared" si="1"/>
        <v>Ocasional Insignificante</v>
      </c>
      <c r="Q6" s="35" t="s">
        <v>346</v>
      </c>
      <c r="R6" s="119" t="str">
        <f>AL24</f>
        <v>3E</v>
      </c>
      <c r="S6" s="119" t="str">
        <f>AL25</f>
        <v>3D</v>
      </c>
      <c r="T6" s="119" t="str">
        <f>AL26</f>
        <v>2B</v>
      </c>
      <c r="U6" s="119" t="str">
        <f>AL27</f>
        <v>3E</v>
      </c>
      <c r="V6" s="119" t="str">
        <f>AL28</f>
        <v>2B</v>
      </c>
      <c r="W6" s="119" t="str">
        <f>AL29</f>
        <v>3C</v>
      </c>
      <c r="X6" s="119" t="str">
        <f>AL30</f>
        <v>2D</v>
      </c>
      <c r="Z6" s="22">
        <v>5</v>
      </c>
      <c r="AA6" s="16" t="s">
        <v>483</v>
      </c>
      <c r="AB6" s="16" t="s">
        <v>484</v>
      </c>
      <c r="AC6" s="114" t="s">
        <v>431</v>
      </c>
      <c r="AD6" s="16" t="s">
        <v>478</v>
      </c>
      <c r="AE6" s="127" t="s">
        <v>489</v>
      </c>
      <c r="AF6" s="116"/>
      <c r="AG6" s="12">
        <f>AG5+14</f>
        <v>14</v>
      </c>
      <c r="AI6" s="121" t="str">
        <f t="shared" si="0"/>
        <v>SKAG-CFIT</v>
      </c>
      <c r="AJ6" s="112" t="s">
        <v>364</v>
      </c>
      <c r="AK6" s="112" t="s">
        <v>409</v>
      </c>
      <c r="AL6" s="122" t="s">
        <v>457</v>
      </c>
      <c r="AM6" s="112" t="str">
        <f t="shared" si="2"/>
        <v>Improbable Catastrófico</v>
      </c>
      <c r="AN6" s="112" t="s">
        <v>501</v>
      </c>
      <c r="AO6" s="123" t="s">
        <v>554</v>
      </c>
      <c r="AP6" s="124" t="s">
        <v>552</v>
      </c>
      <c r="AQ6" s="124" t="s">
        <v>854</v>
      </c>
      <c r="AR6" s="14" t="s">
        <v>11</v>
      </c>
      <c r="AS6" s="112" t="s">
        <v>364</v>
      </c>
      <c r="AZ6" s="117"/>
      <c r="BA6" s="117"/>
    </row>
    <row r="7" spans="1:53" ht="39.9" customHeight="1" x14ac:dyDescent="0.3">
      <c r="A7" s="35" t="s">
        <v>456</v>
      </c>
      <c r="B7" s="112">
        <v>2</v>
      </c>
      <c r="C7" s="114" t="s">
        <v>457</v>
      </c>
      <c r="D7" s="114" t="s">
        <v>458</v>
      </c>
      <c r="E7" s="114" t="s">
        <v>459</v>
      </c>
      <c r="F7" s="114" t="s">
        <v>460</v>
      </c>
      <c r="G7" s="114" t="s">
        <v>440</v>
      </c>
      <c r="I7" s="114" t="s">
        <v>439</v>
      </c>
      <c r="J7" s="114">
        <v>6</v>
      </c>
      <c r="K7" s="118">
        <v>6.17</v>
      </c>
      <c r="L7" s="106" t="s">
        <v>439</v>
      </c>
      <c r="M7" s="106" t="s">
        <v>461</v>
      </c>
      <c r="N7" s="106" t="s">
        <v>433</v>
      </c>
      <c r="O7" s="106" t="str">
        <f t="shared" si="1"/>
        <v>Frecuente Insignificante</v>
      </c>
      <c r="Q7" s="35" t="s">
        <v>345</v>
      </c>
      <c r="R7" s="119" t="str">
        <f>AL31</f>
        <v>2E</v>
      </c>
      <c r="S7" s="114" t="str">
        <f>AL32</f>
        <v>4D</v>
      </c>
      <c r="T7" s="114" t="str">
        <f>AL33</f>
        <v>2B</v>
      </c>
      <c r="U7" s="114" t="str">
        <f>AL34</f>
        <v>2E</v>
      </c>
      <c r="V7" s="114" t="str">
        <f>AL35</f>
        <v>2B</v>
      </c>
      <c r="W7" s="114" t="str">
        <f>AL36</f>
        <v>2C</v>
      </c>
      <c r="X7" s="114" t="str">
        <f>AL37</f>
        <v>2D</v>
      </c>
      <c r="Z7" s="13"/>
      <c r="AA7" s="13"/>
      <c r="AB7" s="13"/>
      <c r="AC7" s="13"/>
      <c r="AD7" s="13"/>
      <c r="AE7" s="13"/>
      <c r="AF7" s="13"/>
      <c r="AG7" s="12">
        <f t="shared" ref="AG7:AG10" si="3">AG6+14</f>
        <v>28</v>
      </c>
      <c r="AI7" s="121" t="str">
        <f t="shared" si="0"/>
        <v>SKAG-FOD</v>
      </c>
      <c r="AJ7" s="112" t="s">
        <v>364</v>
      </c>
      <c r="AK7" s="112" t="s">
        <v>410</v>
      </c>
      <c r="AL7" s="122" t="s">
        <v>466</v>
      </c>
      <c r="AM7" s="112" t="str">
        <f t="shared" si="2"/>
        <v>Extremadamente Improbable Leve</v>
      </c>
      <c r="AN7" s="112" t="s">
        <v>503</v>
      </c>
      <c r="AO7" s="123" t="s">
        <v>522</v>
      </c>
      <c r="AP7" s="124" t="s">
        <v>701</v>
      </c>
      <c r="AQ7" s="124" t="s">
        <v>855</v>
      </c>
      <c r="AR7" s="14" t="s">
        <v>11</v>
      </c>
      <c r="AS7" s="112" t="s">
        <v>364</v>
      </c>
      <c r="AZ7" s="117"/>
      <c r="BA7" s="117"/>
    </row>
    <row r="8" spans="1:53" ht="39.9" customHeight="1" x14ac:dyDescent="0.3">
      <c r="A8" s="35" t="s">
        <v>462</v>
      </c>
      <c r="B8" s="112">
        <v>1</v>
      </c>
      <c r="C8" s="114" t="s">
        <v>463</v>
      </c>
      <c r="D8" s="114" t="s">
        <v>464</v>
      </c>
      <c r="E8" s="114" t="s">
        <v>465</v>
      </c>
      <c r="F8" s="114" t="s">
        <v>466</v>
      </c>
      <c r="G8" s="114" t="s">
        <v>431</v>
      </c>
      <c r="I8" s="114" t="s">
        <v>466</v>
      </c>
      <c r="J8" s="114">
        <v>3</v>
      </c>
      <c r="K8" s="118">
        <v>3.8</v>
      </c>
      <c r="L8" s="106" t="s">
        <v>466</v>
      </c>
      <c r="M8" s="106" t="s">
        <v>432</v>
      </c>
      <c r="N8" s="106" t="s">
        <v>467</v>
      </c>
      <c r="O8" s="106" t="str">
        <f t="shared" si="1"/>
        <v>Extremadamente Improbable Leve</v>
      </c>
      <c r="Q8" s="35" t="s">
        <v>386</v>
      </c>
      <c r="R8" s="119" t="str">
        <f>AL38</f>
        <v>3E</v>
      </c>
      <c r="S8" s="114" t="str">
        <f>AL39</f>
        <v>3D</v>
      </c>
      <c r="T8" s="114" t="str">
        <f>AL40</f>
        <v>2B</v>
      </c>
      <c r="U8" s="114" t="str">
        <f>AL41</f>
        <v>2E</v>
      </c>
      <c r="V8" s="114" t="str">
        <f>AL42</f>
        <v>3B</v>
      </c>
      <c r="W8" s="114" t="str">
        <f>AL43</f>
        <v>4C</v>
      </c>
      <c r="X8" s="114" t="str">
        <f>AL44</f>
        <v>2E</v>
      </c>
      <c r="Z8" s="106"/>
      <c r="AA8" s="112" t="s">
        <v>415</v>
      </c>
      <c r="AB8" s="35" t="s">
        <v>416</v>
      </c>
      <c r="AC8" s="35" t="s">
        <v>417</v>
      </c>
      <c r="AD8" s="35" t="s">
        <v>418</v>
      </c>
      <c r="AE8" s="35" t="s">
        <v>419</v>
      </c>
      <c r="AF8" s="35" t="s">
        <v>420</v>
      </c>
      <c r="AG8" s="12">
        <f t="shared" si="3"/>
        <v>42</v>
      </c>
      <c r="AI8" s="121" t="str">
        <f t="shared" si="0"/>
        <v>SKAG-RIP</v>
      </c>
      <c r="AJ8" s="112" t="s">
        <v>364</v>
      </c>
      <c r="AK8" s="112" t="s">
        <v>412</v>
      </c>
      <c r="AL8" s="122" t="s">
        <v>459</v>
      </c>
      <c r="AM8" s="112" t="str">
        <f t="shared" si="2"/>
        <v>Improbable Importante</v>
      </c>
      <c r="AN8" s="112" t="s">
        <v>505</v>
      </c>
      <c r="AO8" s="123" t="s">
        <v>555</v>
      </c>
      <c r="AP8" s="124" t="s">
        <v>556</v>
      </c>
      <c r="AQ8" s="124" t="s">
        <v>856</v>
      </c>
      <c r="AR8" s="14" t="s">
        <v>11</v>
      </c>
      <c r="AS8" s="112" t="s">
        <v>364</v>
      </c>
      <c r="AZ8" s="117"/>
      <c r="BA8" s="117"/>
    </row>
    <row r="9" spans="1:53" ht="39.9" customHeight="1" x14ac:dyDescent="0.3">
      <c r="I9" s="114" t="s">
        <v>460</v>
      </c>
      <c r="J9" s="114">
        <v>4</v>
      </c>
      <c r="K9" s="118">
        <v>4.5</v>
      </c>
      <c r="L9" s="106" t="s">
        <v>460</v>
      </c>
      <c r="M9" s="106" t="s">
        <v>441</v>
      </c>
      <c r="N9" s="106" t="s">
        <v>467</v>
      </c>
      <c r="O9" s="106" t="str">
        <f t="shared" si="1"/>
        <v>Improbable Leve</v>
      </c>
      <c r="Q9" s="35" t="s">
        <v>365</v>
      </c>
      <c r="R9" s="119" t="str">
        <f>AL45</f>
        <v>3E</v>
      </c>
      <c r="S9" s="114" t="str">
        <f>AL46</f>
        <v>4D</v>
      </c>
      <c r="T9" s="114" t="str">
        <f>AL47</f>
        <v>3B</v>
      </c>
      <c r="U9" s="114" t="str">
        <f>AL48</f>
        <v>2E</v>
      </c>
      <c r="V9" s="114" t="str">
        <f>AL49</f>
        <v>2B</v>
      </c>
      <c r="W9" s="114" t="str">
        <f>AL50</f>
        <v>2C</v>
      </c>
      <c r="X9" s="114" t="str">
        <f>AL51</f>
        <v>2D</v>
      </c>
      <c r="Z9" s="112" t="s">
        <v>426</v>
      </c>
      <c r="AA9" s="106"/>
      <c r="AB9" s="112" t="s">
        <v>427</v>
      </c>
      <c r="AC9" s="112" t="s">
        <v>428</v>
      </c>
      <c r="AD9" s="112" t="s">
        <v>429</v>
      </c>
      <c r="AE9" s="112" t="s">
        <v>430</v>
      </c>
      <c r="AF9" s="112" t="s">
        <v>413</v>
      </c>
      <c r="AG9" s="12">
        <f t="shared" si="3"/>
        <v>56</v>
      </c>
      <c r="AI9" s="121" t="str">
        <f t="shared" si="0"/>
        <v>SKAG-ALAR</v>
      </c>
      <c r="AJ9" s="112" t="s">
        <v>364</v>
      </c>
      <c r="AK9" s="112" t="s">
        <v>411</v>
      </c>
      <c r="AL9" s="122" t="s">
        <v>457</v>
      </c>
      <c r="AM9" s="112" t="str">
        <f t="shared" si="2"/>
        <v>Improbable Catastrófico</v>
      </c>
      <c r="AN9" s="112" t="s">
        <v>506</v>
      </c>
      <c r="AO9" s="123" t="s">
        <v>557</v>
      </c>
      <c r="AP9" s="124" t="s">
        <v>559</v>
      </c>
      <c r="AQ9" s="124" t="s">
        <v>857</v>
      </c>
      <c r="AR9" s="14" t="s">
        <v>11</v>
      </c>
      <c r="AS9" s="112" t="s">
        <v>364</v>
      </c>
      <c r="AZ9" s="117"/>
      <c r="BA9" s="117"/>
    </row>
    <row r="10" spans="1:53" ht="39.9" customHeight="1" x14ac:dyDescent="0.3">
      <c r="A10" s="627" t="s">
        <v>468</v>
      </c>
      <c r="B10" s="627"/>
      <c r="C10" s="627"/>
      <c r="D10" s="627"/>
      <c r="E10" s="627"/>
      <c r="F10" s="627"/>
      <c r="G10" s="627"/>
      <c r="I10" s="114" t="s">
        <v>454</v>
      </c>
      <c r="J10" s="114">
        <v>5</v>
      </c>
      <c r="K10" s="118">
        <v>5.4</v>
      </c>
      <c r="L10" s="106" t="s">
        <v>454</v>
      </c>
      <c r="M10" s="106" t="s">
        <v>449</v>
      </c>
      <c r="N10" s="106" t="s">
        <v>467</v>
      </c>
      <c r="O10" s="106" t="str">
        <f t="shared" si="1"/>
        <v>Remoto Leve</v>
      </c>
      <c r="Q10" s="35" t="s">
        <v>347</v>
      </c>
      <c r="R10" s="119" t="str">
        <f>AL52</f>
        <v>3E</v>
      </c>
      <c r="S10" s="114" t="str">
        <f>AL53</f>
        <v>3D</v>
      </c>
      <c r="T10" s="114" t="str">
        <f>AL54</f>
        <v>2B</v>
      </c>
      <c r="U10" s="114" t="str">
        <f>AL55</f>
        <v>2E</v>
      </c>
      <c r="V10" s="114" t="str">
        <f>AL56</f>
        <v>2B</v>
      </c>
      <c r="W10" s="114" t="str">
        <f>AL57</f>
        <v>2C</v>
      </c>
      <c r="X10" s="114" t="str">
        <f>AL58</f>
        <v>2D</v>
      </c>
      <c r="Z10" s="35" t="s">
        <v>434</v>
      </c>
      <c r="AA10" s="112">
        <v>5</v>
      </c>
      <c r="AB10" s="114" t="s">
        <v>435</v>
      </c>
      <c r="AC10" s="114" t="s">
        <v>436</v>
      </c>
      <c r="AD10" s="114" t="s">
        <v>437</v>
      </c>
      <c r="AE10" s="114" t="s">
        <v>438</v>
      </c>
      <c r="AF10" s="114" t="s">
        <v>439</v>
      </c>
      <c r="AG10" s="12">
        <f t="shared" si="3"/>
        <v>70</v>
      </c>
      <c r="AI10" s="128" t="str">
        <f t="shared" si="0"/>
        <v>SKAM-MACA</v>
      </c>
      <c r="AJ10" s="129" t="s">
        <v>342</v>
      </c>
      <c r="AK10" s="129" t="s">
        <v>406</v>
      </c>
      <c r="AL10" s="130" t="s">
        <v>451</v>
      </c>
      <c r="AM10" s="129" t="str">
        <f t="shared" si="2"/>
        <v>Remoto Catastrófico</v>
      </c>
      <c r="AN10" s="129" t="s">
        <v>498</v>
      </c>
      <c r="AO10" s="131" t="s">
        <v>560</v>
      </c>
      <c r="AP10" s="132" t="s">
        <v>561</v>
      </c>
      <c r="AQ10" s="132" t="s">
        <v>851</v>
      </c>
      <c r="AR10" s="14" t="s">
        <v>11</v>
      </c>
      <c r="AS10" s="129" t="s">
        <v>342</v>
      </c>
      <c r="AZ10" s="117"/>
      <c r="BA10" s="117"/>
    </row>
    <row r="11" spans="1:53" ht="39.9" customHeight="1" x14ac:dyDescent="0.3">
      <c r="A11" s="106"/>
      <c r="B11" s="112" t="s">
        <v>415</v>
      </c>
      <c r="C11" s="35" t="s">
        <v>416</v>
      </c>
      <c r="D11" s="35" t="s">
        <v>417</v>
      </c>
      <c r="E11" s="35" t="s">
        <v>418</v>
      </c>
      <c r="F11" s="35" t="s">
        <v>419</v>
      </c>
      <c r="G11" s="35" t="s">
        <v>420</v>
      </c>
      <c r="I11" s="114" t="s">
        <v>446</v>
      </c>
      <c r="J11" s="114">
        <v>6</v>
      </c>
      <c r="K11" s="118">
        <v>6.34</v>
      </c>
      <c r="L11" s="106" t="s">
        <v>446</v>
      </c>
      <c r="M11" s="106" t="s">
        <v>455</v>
      </c>
      <c r="N11" s="106" t="s">
        <v>467</v>
      </c>
      <c r="O11" s="106" t="str">
        <f t="shared" si="1"/>
        <v>Ocasional Leve</v>
      </c>
      <c r="Q11" s="35" t="s">
        <v>349</v>
      </c>
      <c r="R11" s="119" t="str">
        <f>AL59</f>
        <v>3E</v>
      </c>
      <c r="S11" s="114" t="str">
        <f>AL60</f>
        <v>3D</v>
      </c>
      <c r="T11" s="119" t="str">
        <f>AL61</f>
        <v>1B</v>
      </c>
      <c r="U11" s="114" t="str">
        <f>AL62</f>
        <v>2E</v>
      </c>
      <c r="V11" s="119" t="str">
        <f>AL63</f>
        <v>2B</v>
      </c>
      <c r="W11" s="114" t="str">
        <f>AL64</f>
        <v>2C</v>
      </c>
      <c r="X11" s="119" t="str">
        <f>AL65</f>
        <v>2D</v>
      </c>
      <c r="Z11" s="35" t="s">
        <v>442</v>
      </c>
      <c r="AA11" s="112">
        <v>4</v>
      </c>
      <c r="AB11" s="114" t="s">
        <v>443</v>
      </c>
      <c r="AC11" s="114" t="s">
        <v>444</v>
      </c>
      <c r="AD11" s="114" t="s">
        <v>445</v>
      </c>
      <c r="AE11" s="114" t="s">
        <v>446</v>
      </c>
      <c r="AF11" s="114" t="s">
        <v>447</v>
      </c>
      <c r="AI11" s="128" t="str">
        <f t="shared" si="0"/>
        <v>SKAM-BASH</v>
      </c>
      <c r="AJ11" s="129" t="s">
        <v>342</v>
      </c>
      <c r="AK11" s="129" t="s">
        <v>407</v>
      </c>
      <c r="AL11" s="130" t="s">
        <v>444</v>
      </c>
      <c r="AM11" s="129" t="str">
        <f t="shared" si="2"/>
        <v>Ocasional Peligroso</v>
      </c>
      <c r="AN11" s="129" t="s">
        <v>499</v>
      </c>
      <c r="AO11" s="131" t="s">
        <v>551</v>
      </c>
      <c r="AP11" s="132" t="s">
        <v>562</v>
      </c>
      <c r="AQ11" s="132" t="s">
        <v>852</v>
      </c>
      <c r="AR11" s="14" t="s">
        <v>11</v>
      </c>
      <c r="AS11" s="129" t="s">
        <v>342</v>
      </c>
      <c r="AZ11" s="117"/>
      <c r="BA11" s="117"/>
    </row>
    <row r="12" spans="1:53" ht="39.9" customHeight="1" x14ac:dyDescent="0.3">
      <c r="A12" s="112" t="s">
        <v>426</v>
      </c>
      <c r="B12" s="106"/>
      <c r="C12" s="112">
        <v>5</v>
      </c>
      <c r="D12" s="112">
        <v>4</v>
      </c>
      <c r="E12" s="112">
        <v>3</v>
      </c>
      <c r="F12" s="112">
        <v>2</v>
      </c>
      <c r="G12" s="112">
        <v>1</v>
      </c>
      <c r="I12" s="114" t="s">
        <v>438</v>
      </c>
      <c r="J12" s="114">
        <v>7</v>
      </c>
      <c r="K12" s="118">
        <v>7.2</v>
      </c>
      <c r="L12" s="106" t="s">
        <v>438</v>
      </c>
      <c r="M12" s="106" t="s">
        <v>461</v>
      </c>
      <c r="N12" s="106" t="s">
        <v>467</v>
      </c>
      <c r="O12" s="106" t="str">
        <f t="shared" si="1"/>
        <v>Frecuente Leve</v>
      </c>
      <c r="Q12" s="35" t="s">
        <v>350</v>
      </c>
      <c r="R12" s="119" t="str">
        <f>AL66</f>
        <v>2E</v>
      </c>
      <c r="S12" s="114" t="str">
        <f>AL67</f>
        <v>3D</v>
      </c>
      <c r="T12" s="119" t="str">
        <f>AL68</f>
        <v>3B</v>
      </c>
      <c r="U12" s="114" t="str">
        <f>AL69</f>
        <v>3E</v>
      </c>
      <c r="V12" s="119" t="str">
        <f>AL70</f>
        <v>3B</v>
      </c>
      <c r="W12" s="114" t="str">
        <f>AL71</f>
        <v>3C</v>
      </c>
      <c r="X12" s="119" t="str">
        <f>AL72</f>
        <v>3E</v>
      </c>
      <c r="Z12" s="35" t="s">
        <v>450</v>
      </c>
      <c r="AA12" s="112">
        <v>3</v>
      </c>
      <c r="AB12" s="114" t="s">
        <v>451</v>
      </c>
      <c r="AC12" s="114" t="s">
        <v>452</v>
      </c>
      <c r="AD12" s="114" t="s">
        <v>453</v>
      </c>
      <c r="AE12" s="114" t="s">
        <v>454</v>
      </c>
      <c r="AF12" s="114" t="s">
        <v>448</v>
      </c>
      <c r="AI12" s="128" t="str">
        <f t="shared" si="0"/>
        <v>SKAM-GAP</v>
      </c>
      <c r="AJ12" s="129" t="s">
        <v>342</v>
      </c>
      <c r="AK12" s="129" t="s">
        <v>408</v>
      </c>
      <c r="AL12" s="130" t="s">
        <v>446</v>
      </c>
      <c r="AM12" s="129" t="str">
        <f t="shared" si="2"/>
        <v>Ocasional Leve</v>
      </c>
      <c r="AN12" s="129" t="s">
        <v>500</v>
      </c>
      <c r="AO12" s="131" t="s">
        <v>521</v>
      </c>
      <c r="AP12" s="132" t="s">
        <v>563</v>
      </c>
      <c r="AQ12" s="132" t="s">
        <v>853</v>
      </c>
      <c r="AR12" s="14" t="s">
        <v>11</v>
      </c>
      <c r="AS12" s="129" t="s">
        <v>342</v>
      </c>
      <c r="AZ12" s="117"/>
      <c r="BA12" s="117"/>
    </row>
    <row r="13" spans="1:53" ht="39.9" customHeight="1" x14ac:dyDescent="0.3">
      <c r="A13" s="35" t="s">
        <v>434</v>
      </c>
      <c r="B13" s="112">
        <v>5</v>
      </c>
      <c r="C13" s="106">
        <f>$C$12+B13</f>
        <v>10</v>
      </c>
      <c r="D13" s="106">
        <f>$D$12+B13</f>
        <v>9</v>
      </c>
      <c r="E13" s="106">
        <f>$E$12+B13</f>
        <v>8</v>
      </c>
      <c r="F13" s="106">
        <f>$F$12+B13</f>
        <v>7</v>
      </c>
      <c r="G13" s="106">
        <f>$G$12+B13</f>
        <v>6</v>
      </c>
      <c r="I13" s="114" t="s">
        <v>465</v>
      </c>
      <c r="J13" s="114">
        <v>4</v>
      </c>
      <c r="K13" s="118">
        <v>4.75</v>
      </c>
      <c r="L13" s="106" t="s">
        <v>465</v>
      </c>
      <c r="M13" s="106" t="s">
        <v>432</v>
      </c>
      <c r="N13" s="106" t="s">
        <v>469</v>
      </c>
      <c r="O13" s="106" t="str">
        <f t="shared" si="1"/>
        <v>Extremadamente Improbable Importante</v>
      </c>
      <c r="Q13" s="35" t="s">
        <v>344</v>
      </c>
      <c r="R13" s="119" t="str">
        <f>AL73</f>
        <v>3E</v>
      </c>
      <c r="S13" s="114" t="str">
        <f>AL74</f>
        <v>4D</v>
      </c>
      <c r="T13" s="119" t="str">
        <f>AL75</f>
        <v>2B</v>
      </c>
      <c r="U13" s="114" t="str">
        <f>AL76</f>
        <v>2E</v>
      </c>
      <c r="V13" s="119" t="str">
        <f>AL77</f>
        <v>2B</v>
      </c>
      <c r="W13" s="114" t="str">
        <f>AL78</f>
        <v>3C</v>
      </c>
      <c r="X13" s="119" t="str">
        <f>AL79</f>
        <v>2D</v>
      </c>
      <c r="Z13" s="35" t="s">
        <v>456</v>
      </c>
      <c r="AA13" s="112">
        <v>2</v>
      </c>
      <c r="AB13" s="114" t="s">
        <v>457</v>
      </c>
      <c r="AC13" s="114" t="s">
        <v>458</v>
      </c>
      <c r="AD13" s="114" t="s">
        <v>459</v>
      </c>
      <c r="AE13" s="114" t="s">
        <v>460</v>
      </c>
      <c r="AF13" s="114" t="s">
        <v>440</v>
      </c>
      <c r="AI13" s="128" t="str">
        <f t="shared" si="0"/>
        <v>SKAM-CFIT</v>
      </c>
      <c r="AJ13" s="129" t="s">
        <v>342</v>
      </c>
      <c r="AK13" s="129" t="s">
        <v>409</v>
      </c>
      <c r="AL13" s="130" t="s">
        <v>457</v>
      </c>
      <c r="AM13" s="129" t="str">
        <f t="shared" si="2"/>
        <v>Improbable Catastrófico</v>
      </c>
      <c r="AN13" s="129" t="s">
        <v>501</v>
      </c>
      <c r="AO13" s="131" t="s">
        <v>566</v>
      </c>
      <c r="AP13" s="132" t="s">
        <v>565</v>
      </c>
      <c r="AQ13" s="132" t="s">
        <v>854</v>
      </c>
      <c r="AR13" s="14" t="s">
        <v>11</v>
      </c>
      <c r="AS13" s="129" t="s">
        <v>342</v>
      </c>
      <c r="AZ13" s="117"/>
      <c r="BA13" s="117"/>
    </row>
    <row r="14" spans="1:53" ht="39.9" customHeight="1" x14ac:dyDescent="0.3">
      <c r="A14" s="35" t="s">
        <v>442</v>
      </c>
      <c r="B14" s="112">
        <v>4</v>
      </c>
      <c r="C14" s="106">
        <f t="shared" ref="C14:C16" si="4">$C$12+B14</f>
        <v>9</v>
      </c>
      <c r="D14" s="106">
        <f t="shared" ref="D14:D17" si="5">$D$12+B14</f>
        <v>8</v>
      </c>
      <c r="E14" s="106">
        <f t="shared" ref="E14:E17" si="6">$E$12+B14</f>
        <v>7</v>
      </c>
      <c r="F14" s="106">
        <f t="shared" ref="F14:F17" si="7">$F$12+B14</f>
        <v>6</v>
      </c>
      <c r="G14" s="106">
        <f t="shared" ref="G14:G17" si="8">$G$12+B14</f>
        <v>5</v>
      </c>
      <c r="I14" s="114" t="s">
        <v>459</v>
      </c>
      <c r="J14" s="114">
        <v>5</v>
      </c>
      <c r="K14" s="118">
        <v>5.6</v>
      </c>
      <c r="L14" s="106" t="s">
        <v>459</v>
      </c>
      <c r="M14" s="106" t="s">
        <v>441</v>
      </c>
      <c r="N14" s="106" t="s">
        <v>469</v>
      </c>
      <c r="O14" s="106" t="str">
        <f t="shared" si="1"/>
        <v>Improbable Importante</v>
      </c>
      <c r="Q14" s="35" t="s">
        <v>351</v>
      </c>
      <c r="R14" s="114" t="str">
        <f>AL80</f>
        <v>4E</v>
      </c>
      <c r="S14" s="114" t="str">
        <f>AL81</f>
        <v>4D</v>
      </c>
      <c r="T14" s="114" t="str">
        <f>AL82</f>
        <v>3B</v>
      </c>
      <c r="U14" s="114" t="str">
        <f>AL83</f>
        <v>2E</v>
      </c>
      <c r="V14" s="114" t="str">
        <f>AL84</f>
        <v>4B</v>
      </c>
      <c r="W14" s="114" t="str">
        <f>AL85</f>
        <v>3C</v>
      </c>
      <c r="X14" s="114" t="str">
        <f>AL86</f>
        <v>2D</v>
      </c>
      <c r="Z14" s="35" t="s">
        <v>462</v>
      </c>
      <c r="AA14" s="112">
        <v>1</v>
      </c>
      <c r="AB14" s="114" t="s">
        <v>463</v>
      </c>
      <c r="AC14" s="114" t="s">
        <v>464</v>
      </c>
      <c r="AD14" s="114" t="s">
        <v>465</v>
      </c>
      <c r="AE14" s="114" t="s">
        <v>466</v>
      </c>
      <c r="AF14" s="114" t="s">
        <v>431</v>
      </c>
      <c r="AI14" s="128" t="str">
        <f t="shared" si="0"/>
        <v>SKAM-FOD</v>
      </c>
      <c r="AJ14" s="129" t="s">
        <v>342</v>
      </c>
      <c r="AK14" s="129" t="s">
        <v>410</v>
      </c>
      <c r="AL14" s="130" t="s">
        <v>438</v>
      </c>
      <c r="AM14" s="129" t="str">
        <f t="shared" si="2"/>
        <v>Frecuente Leve</v>
      </c>
      <c r="AN14" s="129" t="s">
        <v>503</v>
      </c>
      <c r="AO14" s="131" t="s">
        <v>567</v>
      </c>
      <c r="AP14" s="132" t="s">
        <v>568</v>
      </c>
      <c r="AQ14" s="132" t="s">
        <v>855</v>
      </c>
      <c r="AR14" s="14" t="s">
        <v>11</v>
      </c>
      <c r="AS14" s="129" t="s">
        <v>342</v>
      </c>
      <c r="AZ14" s="117"/>
      <c r="BA14" s="117"/>
    </row>
    <row r="15" spans="1:53" ht="39.9" customHeight="1" x14ac:dyDescent="0.3">
      <c r="A15" s="35" t="s">
        <v>450</v>
      </c>
      <c r="B15" s="112">
        <v>3</v>
      </c>
      <c r="C15" s="106">
        <f t="shared" si="4"/>
        <v>8</v>
      </c>
      <c r="D15" s="106">
        <f t="shared" si="5"/>
        <v>7</v>
      </c>
      <c r="E15" s="106">
        <f t="shared" si="6"/>
        <v>6</v>
      </c>
      <c r="F15" s="106">
        <f t="shared" si="7"/>
        <v>5</v>
      </c>
      <c r="G15" s="106">
        <f t="shared" si="8"/>
        <v>4</v>
      </c>
      <c r="I15" s="114" t="s">
        <v>453</v>
      </c>
      <c r="J15" s="114">
        <v>6</v>
      </c>
      <c r="K15" s="118">
        <v>6.51</v>
      </c>
      <c r="L15" s="106" t="s">
        <v>453</v>
      </c>
      <c r="M15" s="106" t="s">
        <v>449</v>
      </c>
      <c r="N15" s="106" t="s">
        <v>469</v>
      </c>
      <c r="O15" s="106" t="str">
        <f t="shared" si="1"/>
        <v>Remoto Importante</v>
      </c>
      <c r="Q15" s="35" t="s">
        <v>348</v>
      </c>
      <c r="R15" s="114" t="str">
        <f>AL87</f>
        <v>5E</v>
      </c>
      <c r="S15" s="114" t="str">
        <f>AL88</f>
        <v>4D</v>
      </c>
      <c r="T15" s="114" t="str">
        <f>AL89</f>
        <v>2B</v>
      </c>
      <c r="U15" s="114" t="str">
        <f>AL90</f>
        <v>2E</v>
      </c>
      <c r="V15" s="114" t="str">
        <f>AL91</f>
        <v>2B</v>
      </c>
      <c r="W15" s="114" t="str">
        <f>AL92</f>
        <v>3C</v>
      </c>
      <c r="X15" s="114" t="str">
        <f>AL93</f>
        <v>3D</v>
      </c>
      <c r="AI15" s="128" t="str">
        <f t="shared" si="0"/>
        <v>SKAM-RIP</v>
      </c>
      <c r="AJ15" s="129" t="s">
        <v>342</v>
      </c>
      <c r="AK15" s="129" t="s">
        <v>412</v>
      </c>
      <c r="AL15" s="130" t="s">
        <v>453</v>
      </c>
      <c r="AM15" s="129" t="str">
        <f t="shared" si="2"/>
        <v>Remoto Importante</v>
      </c>
      <c r="AN15" s="129" t="s">
        <v>505</v>
      </c>
      <c r="AO15" s="131" t="s">
        <v>569</v>
      </c>
      <c r="AP15" s="132" t="s">
        <v>701</v>
      </c>
      <c r="AQ15" s="132" t="s">
        <v>856</v>
      </c>
      <c r="AR15" s="14" t="s">
        <v>11</v>
      </c>
      <c r="AS15" s="129" t="s">
        <v>342</v>
      </c>
      <c r="AZ15" s="117"/>
      <c r="BA15" s="117"/>
    </row>
    <row r="16" spans="1:53" ht="39.9" customHeight="1" x14ac:dyDescent="0.3">
      <c r="A16" s="35" t="s">
        <v>456</v>
      </c>
      <c r="B16" s="112">
        <v>2</v>
      </c>
      <c r="C16" s="106">
        <f t="shared" si="4"/>
        <v>7</v>
      </c>
      <c r="D16" s="106">
        <f t="shared" si="5"/>
        <v>6</v>
      </c>
      <c r="E16" s="106">
        <f t="shared" si="6"/>
        <v>5</v>
      </c>
      <c r="F16" s="106">
        <f t="shared" si="7"/>
        <v>4</v>
      </c>
      <c r="G16" s="106">
        <f t="shared" si="8"/>
        <v>3</v>
      </c>
      <c r="I16" s="114" t="s">
        <v>445</v>
      </c>
      <c r="J16" s="114">
        <v>7</v>
      </c>
      <c r="K16" s="118">
        <v>7.4</v>
      </c>
      <c r="L16" s="106" t="s">
        <v>445</v>
      </c>
      <c r="M16" s="106" t="s">
        <v>455</v>
      </c>
      <c r="N16" s="106" t="s">
        <v>469</v>
      </c>
      <c r="O16" s="106" t="str">
        <f t="shared" si="1"/>
        <v>Ocasional Importante</v>
      </c>
      <c r="Q16" s="35" t="s">
        <v>363</v>
      </c>
      <c r="R16" s="114" t="str">
        <f>AL94</f>
        <v>5E</v>
      </c>
      <c r="S16" s="114" t="str">
        <f>AL95</f>
        <v>2D</v>
      </c>
      <c r="T16" s="114" t="str">
        <f>AL96</f>
        <v>2B</v>
      </c>
      <c r="U16" s="114" t="str">
        <f>AL97</f>
        <v>3E</v>
      </c>
      <c r="V16" s="114" t="str">
        <f>AL98</f>
        <v>2B</v>
      </c>
      <c r="W16" s="114" t="str">
        <f>AL99</f>
        <v>4C</v>
      </c>
      <c r="X16" s="114" t="str">
        <f>AL100</f>
        <v>3D</v>
      </c>
      <c r="AA16" s="133"/>
      <c r="AI16" s="128" t="str">
        <f t="shared" si="0"/>
        <v>SKAM-ALAR</v>
      </c>
      <c r="AJ16" s="129" t="s">
        <v>342</v>
      </c>
      <c r="AK16" s="129" t="s">
        <v>411</v>
      </c>
      <c r="AL16" s="130" t="s">
        <v>458</v>
      </c>
      <c r="AM16" s="129" t="str">
        <f t="shared" si="2"/>
        <v>Improbable Peligroso</v>
      </c>
      <c r="AN16" s="129" t="s">
        <v>506</v>
      </c>
      <c r="AO16" s="131" t="s">
        <v>570</v>
      </c>
      <c r="AP16" s="132" t="s">
        <v>571</v>
      </c>
      <c r="AQ16" s="132" t="s">
        <v>857</v>
      </c>
      <c r="AR16" s="14" t="s">
        <v>11</v>
      </c>
      <c r="AS16" s="129" t="s">
        <v>342</v>
      </c>
      <c r="AZ16" s="117"/>
      <c r="BA16" s="117"/>
    </row>
    <row r="17" spans="1:53" ht="39.9" customHeight="1" x14ac:dyDescent="0.3">
      <c r="A17" s="35" t="s">
        <v>462</v>
      </c>
      <c r="B17" s="112">
        <v>1</v>
      </c>
      <c r="C17" s="106">
        <f>$C$12+B17</f>
        <v>6</v>
      </c>
      <c r="D17" s="106">
        <f t="shared" si="5"/>
        <v>5</v>
      </c>
      <c r="E17" s="106">
        <f t="shared" si="6"/>
        <v>4</v>
      </c>
      <c r="F17" s="106">
        <f t="shared" si="7"/>
        <v>3</v>
      </c>
      <c r="G17" s="106">
        <f t="shared" si="8"/>
        <v>2</v>
      </c>
      <c r="I17" s="114" t="s">
        <v>437</v>
      </c>
      <c r="J17" s="114">
        <v>8</v>
      </c>
      <c r="K17" s="118">
        <v>8.25</v>
      </c>
      <c r="L17" s="106" t="s">
        <v>437</v>
      </c>
      <c r="M17" s="106" t="s">
        <v>461</v>
      </c>
      <c r="N17" s="106" t="s">
        <v>469</v>
      </c>
      <c r="O17" s="106" t="str">
        <f t="shared" si="1"/>
        <v>Frecuente Importante</v>
      </c>
      <c r="Q17" s="35" t="s">
        <v>352</v>
      </c>
      <c r="R17" s="114" t="str">
        <f>AL101</f>
        <v>3E</v>
      </c>
      <c r="S17" s="114" t="str">
        <f>AL102</f>
        <v>3D</v>
      </c>
      <c r="T17" s="114" t="str">
        <f>AL103</f>
        <v>2B</v>
      </c>
      <c r="U17" s="114" t="str">
        <f>AL104</f>
        <v>2E</v>
      </c>
      <c r="V17" s="114" t="str">
        <f>AL105</f>
        <v>2B</v>
      </c>
      <c r="W17" s="114" t="str">
        <f>AL106</f>
        <v>2C</v>
      </c>
      <c r="X17" s="114" t="str">
        <f>AL107</f>
        <v>3D</v>
      </c>
      <c r="AA17" s="12"/>
      <c r="AB17" s="12"/>
      <c r="AC17" s="12"/>
      <c r="AD17" s="12"/>
      <c r="AE17" s="12"/>
      <c r="AF17" s="12"/>
      <c r="AI17" s="121" t="str">
        <f t="shared" si="0"/>
        <v>SKAR-MACA</v>
      </c>
      <c r="AJ17" s="112" t="s">
        <v>343</v>
      </c>
      <c r="AK17" s="112" t="s">
        <v>406</v>
      </c>
      <c r="AL17" s="122" t="s">
        <v>451</v>
      </c>
      <c r="AM17" s="112" t="str">
        <f t="shared" si="2"/>
        <v>Remoto Catastrófico</v>
      </c>
      <c r="AN17" s="112" t="s">
        <v>498</v>
      </c>
      <c r="AO17" s="123" t="s">
        <v>572</v>
      </c>
      <c r="AP17" s="124" t="s">
        <v>573</v>
      </c>
      <c r="AQ17" s="124" t="s">
        <v>851</v>
      </c>
      <c r="AR17" s="14"/>
      <c r="AS17" s="112" t="s">
        <v>343</v>
      </c>
      <c r="AZ17" s="117"/>
      <c r="BA17" s="117"/>
    </row>
    <row r="18" spans="1:53" ht="39.9" customHeight="1" x14ac:dyDescent="0.3">
      <c r="I18" s="114" t="s">
        <v>464</v>
      </c>
      <c r="J18" s="114">
        <v>5</v>
      </c>
      <c r="K18" s="118">
        <v>5.8</v>
      </c>
      <c r="L18" s="106" t="s">
        <v>464</v>
      </c>
      <c r="M18" s="106" t="s">
        <v>432</v>
      </c>
      <c r="N18" s="106" t="s">
        <v>470</v>
      </c>
      <c r="O18" s="106" t="str">
        <f t="shared" si="1"/>
        <v>Extremadamente Improbable Peligroso</v>
      </c>
      <c r="Q18" s="35" t="s">
        <v>474</v>
      </c>
      <c r="R18" s="114" t="str">
        <f>AL108</f>
        <v>3E</v>
      </c>
      <c r="S18" s="114" t="str">
        <f>AL109</f>
        <v>3D</v>
      </c>
      <c r="T18" s="114" t="str">
        <f>AL110</f>
        <v>2B</v>
      </c>
      <c r="U18" s="114" t="str">
        <f>AL111</f>
        <v>2E</v>
      </c>
      <c r="V18" s="114" t="str">
        <f>AL112</f>
        <v>3B</v>
      </c>
      <c r="W18" s="114" t="str">
        <f>AL113</f>
        <v>4C</v>
      </c>
      <c r="X18" s="114" t="str">
        <f>AL114</f>
        <v>3E</v>
      </c>
      <c r="AI18" s="121" t="str">
        <f t="shared" si="0"/>
        <v>SKAR-BASH</v>
      </c>
      <c r="AJ18" s="112" t="s">
        <v>343</v>
      </c>
      <c r="AK18" s="112" t="s">
        <v>407</v>
      </c>
      <c r="AL18" s="122" t="s">
        <v>452</v>
      </c>
      <c r="AM18" s="112" t="str">
        <f t="shared" si="2"/>
        <v>Remoto Peligroso</v>
      </c>
      <c r="AN18" s="112" t="s">
        <v>499</v>
      </c>
      <c r="AO18" s="123" t="s">
        <v>523</v>
      </c>
      <c r="AP18" s="124" t="s">
        <v>701</v>
      </c>
      <c r="AQ18" s="124" t="s">
        <v>858</v>
      </c>
      <c r="AR18" s="14"/>
      <c r="AS18" s="112" t="s">
        <v>343</v>
      </c>
      <c r="AZ18" s="117"/>
      <c r="BA18" s="117"/>
    </row>
    <row r="19" spans="1:53" ht="39.9" customHeight="1" x14ac:dyDescent="0.3">
      <c r="I19" s="114" t="s">
        <v>458</v>
      </c>
      <c r="J19" s="114">
        <v>6</v>
      </c>
      <c r="K19" s="118">
        <v>6.68</v>
      </c>
      <c r="L19" s="106" t="s">
        <v>458</v>
      </c>
      <c r="M19" s="106" t="s">
        <v>441</v>
      </c>
      <c r="N19" s="106" t="s">
        <v>470</v>
      </c>
      <c r="O19" s="106" t="str">
        <f t="shared" si="1"/>
        <v>Improbable Peligroso</v>
      </c>
      <c r="Q19" s="35" t="s">
        <v>389</v>
      </c>
      <c r="R19" s="114" t="str">
        <f>AL115</f>
        <v>2E</v>
      </c>
      <c r="S19" s="114" t="str">
        <f>AL116</f>
        <v>3D</v>
      </c>
      <c r="T19" s="114" t="str">
        <f>AL117</f>
        <v>2B</v>
      </c>
      <c r="U19" s="114" t="str">
        <f>AL118</f>
        <v>2E</v>
      </c>
      <c r="V19" s="114" t="str">
        <f>AL119</f>
        <v>2B</v>
      </c>
      <c r="W19" s="114" t="str">
        <f>AL120</f>
        <v>4C</v>
      </c>
      <c r="X19" s="114" t="str">
        <f>AL121</f>
        <v>2D</v>
      </c>
      <c r="AI19" s="121" t="str">
        <f t="shared" si="0"/>
        <v>SKAR-GAP</v>
      </c>
      <c r="AJ19" s="112" t="s">
        <v>343</v>
      </c>
      <c r="AK19" s="112" t="s">
        <v>408</v>
      </c>
      <c r="AL19" s="122" t="s">
        <v>466</v>
      </c>
      <c r="AM19" s="112" t="str">
        <f>VLOOKUP(AL19,$I$3:$O$27,7,FALSE)</f>
        <v>Extremadamente Improbable Leve</v>
      </c>
      <c r="AN19" s="112" t="s">
        <v>500</v>
      </c>
      <c r="AO19" s="123" t="s">
        <v>574</v>
      </c>
      <c r="AP19" s="124" t="s">
        <v>575</v>
      </c>
      <c r="AQ19" s="124" t="s">
        <v>859</v>
      </c>
      <c r="AR19" s="14"/>
      <c r="AS19" s="112" t="s">
        <v>343</v>
      </c>
      <c r="AZ19" s="117"/>
      <c r="BA19" s="117"/>
    </row>
    <row r="20" spans="1:53" ht="39.9" customHeight="1" x14ac:dyDescent="0.3">
      <c r="I20" s="114" t="s">
        <v>452</v>
      </c>
      <c r="J20" s="114">
        <v>7</v>
      </c>
      <c r="K20" s="118">
        <v>7.6</v>
      </c>
      <c r="L20" s="106" t="s">
        <v>452</v>
      </c>
      <c r="M20" s="106" t="s">
        <v>449</v>
      </c>
      <c r="N20" s="106" t="s">
        <v>470</v>
      </c>
      <c r="O20" s="106" t="str">
        <f t="shared" si="1"/>
        <v>Remoto Peligroso</v>
      </c>
      <c r="Q20" s="35" t="s">
        <v>355</v>
      </c>
      <c r="R20" s="114" t="str">
        <f>AL122</f>
        <v>3E</v>
      </c>
      <c r="S20" s="114" t="str">
        <f>AL123</f>
        <v>4D</v>
      </c>
      <c r="T20" s="114" t="str">
        <f>AL124</f>
        <v>4B</v>
      </c>
      <c r="U20" s="114" t="str">
        <f>AL125</f>
        <v>3E</v>
      </c>
      <c r="V20" s="114" t="str">
        <f>AL126</f>
        <v>3B</v>
      </c>
      <c r="W20" s="114" t="str">
        <f>AL127</f>
        <v>2C</v>
      </c>
      <c r="X20" s="114" t="str">
        <f>AL128</f>
        <v>4D</v>
      </c>
      <c r="AI20" s="121" t="str">
        <f t="shared" si="0"/>
        <v>SKAR-CFIT</v>
      </c>
      <c r="AJ20" s="112" t="s">
        <v>343</v>
      </c>
      <c r="AK20" s="112" t="s">
        <v>409</v>
      </c>
      <c r="AL20" s="122" t="s">
        <v>457</v>
      </c>
      <c r="AM20" s="112" t="str">
        <f t="shared" si="2"/>
        <v>Improbable Catastrófico</v>
      </c>
      <c r="AN20" s="112" t="s">
        <v>501</v>
      </c>
      <c r="AO20" s="123" t="s">
        <v>502</v>
      </c>
      <c r="AP20" s="124" t="s">
        <v>701</v>
      </c>
      <c r="AQ20" s="124" t="s">
        <v>854</v>
      </c>
      <c r="AR20" s="14"/>
      <c r="AS20" s="112" t="s">
        <v>343</v>
      </c>
      <c r="AZ20" s="117"/>
      <c r="BA20" s="117"/>
    </row>
    <row r="21" spans="1:53" ht="39.9" customHeight="1" x14ac:dyDescent="0.3">
      <c r="I21" s="114" t="s">
        <v>444</v>
      </c>
      <c r="J21" s="114">
        <v>8</v>
      </c>
      <c r="K21" s="118">
        <v>8.5</v>
      </c>
      <c r="L21" s="106" t="s">
        <v>444</v>
      </c>
      <c r="M21" s="106" t="s">
        <v>455</v>
      </c>
      <c r="N21" s="106" t="s">
        <v>470</v>
      </c>
      <c r="O21" s="106" t="str">
        <f t="shared" si="1"/>
        <v>Ocasional Peligroso</v>
      </c>
      <c r="Q21" s="35" t="s">
        <v>384</v>
      </c>
      <c r="R21" s="114" t="str">
        <f>AL129</f>
        <v>2E</v>
      </c>
      <c r="S21" s="114" t="str">
        <f>AL130</f>
        <v>3D</v>
      </c>
      <c r="T21" s="114" t="str">
        <f>AL131</f>
        <v>2B</v>
      </c>
      <c r="U21" s="114" t="str">
        <f>AL132</f>
        <v>2E</v>
      </c>
      <c r="V21" s="114" t="str">
        <f>AL133</f>
        <v>3B</v>
      </c>
      <c r="W21" s="114" t="str">
        <f>AL134</f>
        <v>4C</v>
      </c>
      <c r="X21" s="114" t="str">
        <f>AL135</f>
        <v>3E</v>
      </c>
      <c r="AI21" s="121" t="str">
        <f t="shared" si="0"/>
        <v>SKAR-FOD</v>
      </c>
      <c r="AJ21" s="112" t="s">
        <v>343</v>
      </c>
      <c r="AK21" s="112" t="s">
        <v>410</v>
      </c>
      <c r="AL21" s="122" t="s">
        <v>460</v>
      </c>
      <c r="AM21" s="112" t="str">
        <f t="shared" si="2"/>
        <v>Improbable Leve</v>
      </c>
      <c r="AN21" s="112" t="s">
        <v>503</v>
      </c>
      <c r="AO21" s="123" t="s">
        <v>524</v>
      </c>
      <c r="AP21" s="124" t="s">
        <v>701</v>
      </c>
      <c r="AQ21" s="124" t="s">
        <v>855</v>
      </c>
      <c r="AR21" s="14"/>
      <c r="AS21" s="112" t="s">
        <v>343</v>
      </c>
      <c r="AZ21" s="117"/>
      <c r="BA21" s="117"/>
    </row>
    <row r="22" spans="1:53" ht="39.9" customHeight="1" x14ac:dyDescent="0.3">
      <c r="I22" s="114" t="s">
        <v>436</v>
      </c>
      <c r="J22" s="114">
        <v>9</v>
      </c>
      <c r="K22" s="118">
        <v>9.3000000000000007</v>
      </c>
      <c r="L22" s="106" t="s">
        <v>436</v>
      </c>
      <c r="M22" s="106" t="s">
        <v>461</v>
      </c>
      <c r="N22" s="106" t="s">
        <v>470</v>
      </c>
      <c r="O22" s="106" t="str">
        <f t="shared" si="1"/>
        <v>Frecuente Peligroso</v>
      </c>
      <c r="Q22" s="35" t="s">
        <v>472</v>
      </c>
      <c r="R22" s="114" t="str">
        <f>AL136</f>
        <v>2E</v>
      </c>
      <c r="S22" s="114" t="str">
        <f>AL137</f>
        <v>3D</v>
      </c>
      <c r="T22" s="114" t="str">
        <f>AL138</f>
        <v>2B</v>
      </c>
      <c r="U22" s="114" t="str">
        <f>AL139</f>
        <v>2E</v>
      </c>
      <c r="V22" s="114" t="str">
        <f>AL140</f>
        <v>3B</v>
      </c>
      <c r="W22" s="114" t="str">
        <f>AL141</f>
        <v>4C</v>
      </c>
      <c r="X22" s="114" t="str">
        <f>AL142</f>
        <v>3E</v>
      </c>
      <c r="AI22" s="121" t="str">
        <f t="shared" si="0"/>
        <v>SKAR-RIP</v>
      </c>
      <c r="AJ22" s="112" t="s">
        <v>343</v>
      </c>
      <c r="AK22" s="112" t="s">
        <v>412</v>
      </c>
      <c r="AL22" s="122" t="s">
        <v>459</v>
      </c>
      <c r="AM22" s="112" t="str">
        <f t="shared" si="2"/>
        <v>Improbable Importante</v>
      </c>
      <c r="AN22" s="112" t="s">
        <v>505</v>
      </c>
      <c r="AO22" s="123" t="s">
        <v>543</v>
      </c>
      <c r="AP22" s="124" t="s">
        <v>576</v>
      </c>
      <c r="AQ22" s="124" t="s">
        <v>860</v>
      </c>
      <c r="AR22" s="14"/>
      <c r="AS22" s="112" t="s">
        <v>343</v>
      </c>
      <c r="AZ22" s="117"/>
      <c r="BA22" s="117"/>
    </row>
    <row r="23" spans="1:53" ht="39.9" customHeight="1" x14ac:dyDescent="0.3">
      <c r="I23" s="114" t="s">
        <v>463</v>
      </c>
      <c r="J23" s="114">
        <v>6</v>
      </c>
      <c r="K23" s="118">
        <v>6.85</v>
      </c>
      <c r="L23" s="106" t="s">
        <v>463</v>
      </c>
      <c r="M23" s="106" t="s">
        <v>432</v>
      </c>
      <c r="N23" s="106" t="s">
        <v>471</v>
      </c>
      <c r="O23" s="106" t="str">
        <f t="shared" si="1"/>
        <v>Extremadamente Improbable Catastrófico</v>
      </c>
      <c r="Q23" s="35" t="s">
        <v>383</v>
      </c>
      <c r="R23" s="114" t="str">
        <f>AL143</f>
        <v>2E</v>
      </c>
      <c r="S23" s="114" t="str">
        <f>AL144</f>
        <v>3D</v>
      </c>
      <c r="T23" s="114" t="str">
        <f>AL145</f>
        <v>2B</v>
      </c>
      <c r="U23" s="114" t="str">
        <f>AL146</f>
        <v>2E</v>
      </c>
      <c r="V23" s="114" t="str">
        <f>AL147</f>
        <v>3B</v>
      </c>
      <c r="W23" s="114" t="str">
        <f>AL148</f>
        <v>4C</v>
      </c>
      <c r="X23" s="114" t="str">
        <f>AL149</f>
        <v>2E</v>
      </c>
      <c r="AI23" s="121" t="str">
        <f t="shared" si="0"/>
        <v>SKAR-ALAR</v>
      </c>
      <c r="AJ23" s="112" t="s">
        <v>343</v>
      </c>
      <c r="AK23" s="112" t="s">
        <v>411</v>
      </c>
      <c r="AL23" s="122" t="s">
        <v>458</v>
      </c>
      <c r="AM23" s="112" t="str">
        <f t="shared" si="2"/>
        <v>Improbable Peligroso</v>
      </c>
      <c r="AN23" s="112" t="s">
        <v>506</v>
      </c>
      <c r="AO23" s="123" t="s">
        <v>577</v>
      </c>
      <c r="AP23" s="124" t="s">
        <v>578</v>
      </c>
      <c r="AQ23" s="124" t="s">
        <v>861</v>
      </c>
      <c r="AR23" s="14"/>
      <c r="AS23" s="112" t="s">
        <v>343</v>
      </c>
      <c r="AZ23" s="117"/>
      <c r="BA23" s="117"/>
    </row>
    <row r="24" spans="1:53" ht="39.9" customHeight="1" x14ac:dyDescent="0.3">
      <c r="I24" s="114" t="s">
        <v>457</v>
      </c>
      <c r="J24" s="114">
        <v>7</v>
      </c>
      <c r="K24" s="118">
        <v>7.8</v>
      </c>
      <c r="L24" s="106" t="s">
        <v>457</v>
      </c>
      <c r="M24" s="106" t="s">
        <v>441</v>
      </c>
      <c r="N24" s="106" t="s">
        <v>471</v>
      </c>
      <c r="O24" s="106" t="str">
        <f t="shared" si="1"/>
        <v>Improbable Catastrófico</v>
      </c>
      <c r="Q24" s="35" t="s">
        <v>356</v>
      </c>
      <c r="R24" s="114" t="str">
        <f>AL150</f>
        <v>2E</v>
      </c>
      <c r="S24" s="114" t="str">
        <f>AL151</f>
        <v>5E</v>
      </c>
      <c r="T24" s="114" t="str">
        <f>AL152</f>
        <v>3B</v>
      </c>
      <c r="U24" s="114" t="str">
        <f>AL153</f>
        <v>2E</v>
      </c>
      <c r="V24" s="114" t="str">
        <f>AL154</f>
        <v>1B</v>
      </c>
      <c r="W24" s="114" t="str">
        <f>AL155</f>
        <v>2C</v>
      </c>
      <c r="X24" s="114" t="str">
        <f>AL156</f>
        <v>2D</v>
      </c>
      <c r="AI24" s="128" t="str">
        <f t="shared" si="0"/>
        <v>SKBG-MACA</v>
      </c>
      <c r="AJ24" s="129" t="s">
        <v>346</v>
      </c>
      <c r="AK24" s="129" t="s">
        <v>406</v>
      </c>
      <c r="AL24" s="130" t="s">
        <v>451</v>
      </c>
      <c r="AM24" s="129" t="str">
        <f t="shared" si="2"/>
        <v>Remoto Catastrófico</v>
      </c>
      <c r="AN24" s="129" t="s">
        <v>498</v>
      </c>
      <c r="AO24" s="131" t="s">
        <v>525</v>
      </c>
      <c r="AP24" s="132" t="s">
        <v>701</v>
      </c>
      <c r="AQ24" s="132" t="s">
        <v>851</v>
      </c>
      <c r="AR24" s="14"/>
      <c r="AS24" s="129" t="s">
        <v>346</v>
      </c>
      <c r="AZ24" s="117"/>
      <c r="BA24" s="117"/>
    </row>
    <row r="25" spans="1:53" ht="39.9" customHeight="1" x14ac:dyDescent="0.3">
      <c r="I25" s="114" t="s">
        <v>451</v>
      </c>
      <c r="J25" s="114">
        <v>8</v>
      </c>
      <c r="K25" s="118">
        <v>8.6</v>
      </c>
      <c r="L25" s="106" t="s">
        <v>451</v>
      </c>
      <c r="M25" s="106" t="s">
        <v>449</v>
      </c>
      <c r="N25" s="106" t="s">
        <v>471</v>
      </c>
      <c r="O25" s="106" t="str">
        <f t="shared" si="1"/>
        <v>Remoto Catastrófico</v>
      </c>
      <c r="Q25" s="35" t="s">
        <v>353</v>
      </c>
      <c r="R25" s="114" t="str">
        <f>AL157</f>
        <v>3E</v>
      </c>
      <c r="S25" s="114" t="str">
        <f>AL158</f>
        <v>2D</v>
      </c>
      <c r="T25" s="114" t="str">
        <f>AL159</f>
        <v>2B</v>
      </c>
      <c r="U25" s="114" t="str">
        <f>AL160</f>
        <v>3E</v>
      </c>
      <c r="V25" s="114" t="str">
        <f>AL161</f>
        <v>2B</v>
      </c>
      <c r="W25" s="114" t="str">
        <f>AL162</f>
        <v>2C</v>
      </c>
      <c r="X25" s="114" t="str">
        <f>AL163</f>
        <v>5D</v>
      </c>
      <c r="AI25" s="128" t="str">
        <f t="shared" si="0"/>
        <v>SKBG-BASH</v>
      </c>
      <c r="AJ25" s="129" t="s">
        <v>346</v>
      </c>
      <c r="AK25" s="129" t="s">
        <v>407</v>
      </c>
      <c r="AL25" s="130" t="s">
        <v>452</v>
      </c>
      <c r="AM25" s="129" t="str">
        <f t="shared" si="2"/>
        <v>Remoto Peligroso</v>
      </c>
      <c r="AN25" s="129" t="s">
        <v>499</v>
      </c>
      <c r="AO25" s="131" t="s">
        <v>523</v>
      </c>
      <c r="AP25" s="132" t="s">
        <v>701</v>
      </c>
      <c r="AQ25" s="132" t="s">
        <v>858</v>
      </c>
      <c r="AR25" s="14"/>
      <c r="AS25" s="129" t="s">
        <v>346</v>
      </c>
      <c r="AZ25" s="117"/>
      <c r="BA25" s="117"/>
    </row>
    <row r="26" spans="1:53" ht="39.9" customHeight="1" x14ac:dyDescent="0.3">
      <c r="I26" s="114" t="s">
        <v>443</v>
      </c>
      <c r="J26" s="114">
        <v>9</v>
      </c>
      <c r="K26" s="118">
        <v>9.6</v>
      </c>
      <c r="L26" s="106" t="s">
        <v>443</v>
      </c>
      <c r="M26" s="106" t="s">
        <v>455</v>
      </c>
      <c r="N26" s="106" t="s">
        <v>471</v>
      </c>
      <c r="O26" s="106" t="str">
        <f t="shared" si="1"/>
        <v>Ocasional Catastrófico</v>
      </c>
      <c r="Q26" s="35" t="s">
        <v>357</v>
      </c>
      <c r="R26" s="114" t="str">
        <f>AL164</f>
        <v>3E</v>
      </c>
      <c r="S26" s="114" t="str">
        <f>AL165</f>
        <v>3D</v>
      </c>
      <c r="T26" s="114" t="str">
        <f>AL166</f>
        <v>2B</v>
      </c>
      <c r="U26" s="114" t="str">
        <f>AL167</f>
        <v>2E</v>
      </c>
      <c r="V26" s="114" t="str">
        <f>AL168</f>
        <v>2B</v>
      </c>
      <c r="W26" s="114" t="str">
        <f>AL169</f>
        <v>3C</v>
      </c>
      <c r="X26" s="114" t="str">
        <f>AL170</f>
        <v>2D</v>
      </c>
      <c r="AA26" s="12"/>
      <c r="AI26" s="128" t="str">
        <f t="shared" si="0"/>
        <v>SKBG-GAP</v>
      </c>
      <c r="AJ26" s="129" t="s">
        <v>346</v>
      </c>
      <c r="AK26" s="129" t="s">
        <v>408</v>
      </c>
      <c r="AL26" s="130" t="s">
        <v>460</v>
      </c>
      <c r="AM26" s="129" t="str">
        <f t="shared" si="2"/>
        <v>Improbable Leve</v>
      </c>
      <c r="AN26" s="129" t="s">
        <v>500</v>
      </c>
      <c r="AO26" s="131" t="s">
        <v>579</v>
      </c>
      <c r="AP26" s="132" t="s">
        <v>575</v>
      </c>
      <c r="AQ26" s="132" t="s">
        <v>859</v>
      </c>
      <c r="AR26" s="14"/>
      <c r="AS26" s="129" t="s">
        <v>346</v>
      </c>
      <c r="AZ26" s="117"/>
      <c r="BA26" s="117"/>
    </row>
    <row r="27" spans="1:53" ht="39.9" customHeight="1" x14ac:dyDescent="0.3">
      <c r="I27" s="114" t="s">
        <v>435</v>
      </c>
      <c r="J27" s="114">
        <v>10</v>
      </c>
      <c r="K27" s="118">
        <v>10</v>
      </c>
      <c r="L27" s="106" t="s">
        <v>435</v>
      </c>
      <c r="M27" s="106" t="s">
        <v>461</v>
      </c>
      <c r="N27" s="106" t="s">
        <v>471</v>
      </c>
      <c r="O27" s="106" t="str">
        <f t="shared" si="1"/>
        <v>Frecuente Catastrófico</v>
      </c>
      <c r="Q27" s="35" t="s">
        <v>475</v>
      </c>
      <c r="R27" s="114" t="str">
        <f>AL171</f>
        <v>2E</v>
      </c>
      <c r="S27" s="114" t="str">
        <f>AL172</f>
        <v>3D</v>
      </c>
      <c r="T27" s="114" t="str">
        <f>AL173</f>
        <v>3B</v>
      </c>
      <c r="U27" s="114" t="str">
        <f>AL174</f>
        <v>3E</v>
      </c>
      <c r="V27" s="114" t="str">
        <f>AL175</f>
        <v>3B</v>
      </c>
      <c r="W27" s="114" t="str">
        <f>AL176</f>
        <v>4C</v>
      </c>
      <c r="X27" s="114" t="str">
        <f>AL177</f>
        <v>4E</v>
      </c>
      <c r="AA27" s="12"/>
      <c r="AI27" s="128" t="str">
        <f t="shared" si="0"/>
        <v>SKBG-CFIT</v>
      </c>
      <c r="AJ27" s="129" t="s">
        <v>346</v>
      </c>
      <c r="AK27" s="129" t="s">
        <v>409</v>
      </c>
      <c r="AL27" s="130" t="s">
        <v>451</v>
      </c>
      <c r="AM27" s="129" t="str">
        <f t="shared" si="2"/>
        <v>Remoto Catastrófico</v>
      </c>
      <c r="AN27" s="129" t="s">
        <v>501</v>
      </c>
      <c r="AO27" s="131" t="s">
        <v>580</v>
      </c>
      <c r="AP27" s="132" t="s">
        <v>581</v>
      </c>
      <c r="AQ27" s="132" t="s">
        <v>854</v>
      </c>
      <c r="AR27" s="14"/>
      <c r="AS27" s="129" t="s">
        <v>346</v>
      </c>
      <c r="AZ27" s="117"/>
      <c r="BA27" s="117"/>
    </row>
    <row r="28" spans="1:53" ht="39.9" customHeight="1" x14ac:dyDescent="0.3">
      <c r="Q28" s="35" t="s">
        <v>476</v>
      </c>
      <c r="R28" s="114" t="str">
        <f>AL178</f>
        <v>2E</v>
      </c>
      <c r="S28" s="114" t="str">
        <f>AL179</f>
        <v>3D</v>
      </c>
      <c r="T28" s="114" t="str">
        <f>AL180</f>
        <v>2B</v>
      </c>
      <c r="U28" s="114" t="str">
        <f>AL181</f>
        <v>2E</v>
      </c>
      <c r="V28" s="114" t="str">
        <f>AL182</f>
        <v>3B</v>
      </c>
      <c r="W28" s="114" t="str">
        <f>AL183</f>
        <v>4C</v>
      </c>
      <c r="X28" s="114" t="str">
        <f>AL184</f>
        <v>3E</v>
      </c>
      <c r="AA28" s="12"/>
      <c r="AI28" s="128" t="str">
        <f t="shared" si="0"/>
        <v>SKBG-FOD</v>
      </c>
      <c r="AJ28" s="129" t="s">
        <v>346</v>
      </c>
      <c r="AK28" s="129" t="s">
        <v>410</v>
      </c>
      <c r="AL28" s="130" t="s">
        <v>460</v>
      </c>
      <c r="AM28" s="129" t="str">
        <f t="shared" si="2"/>
        <v>Improbable Leve</v>
      </c>
      <c r="AN28" s="129" t="s">
        <v>503</v>
      </c>
      <c r="AO28" s="131" t="s">
        <v>524</v>
      </c>
      <c r="AP28" s="132" t="s">
        <v>701</v>
      </c>
      <c r="AQ28" s="132" t="s">
        <v>855</v>
      </c>
      <c r="AR28" s="14"/>
      <c r="AS28" s="129" t="s">
        <v>346</v>
      </c>
      <c r="AZ28" s="117"/>
      <c r="BA28" s="117"/>
    </row>
    <row r="29" spans="1:53" ht="39.9" customHeight="1" x14ac:dyDescent="0.3">
      <c r="Q29" s="35" t="s">
        <v>358</v>
      </c>
      <c r="R29" s="114" t="str">
        <f>AL185</f>
        <v>3E</v>
      </c>
      <c r="S29" s="114" t="str">
        <f>AL186</f>
        <v>3D</v>
      </c>
      <c r="T29" s="114" t="str">
        <f>AL187</f>
        <v>2B</v>
      </c>
      <c r="U29" s="114" t="str">
        <f>AL188</f>
        <v>2E</v>
      </c>
      <c r="V29" s="114" t="str">
        <f>AL189</f>
        <v>1B</v>
      </c>
      <c r="W29" s="114" t="str">
        <f>AL190</f>
        <v>2C</v>
      </c>
      <c r="X29" s="114" t="str">
        <f>AL191</f>
        <v>3D</v>
      </c>
      <c r="AA29" s="12"/>
      <c r="AI29" s="128" t="str">
        <f t="shared" si="0"/>
        <v>SKBG-RIP</v>
      </c>
      <c r="AJ29" s="129" t="s">
        <v>346</v>
      </c>
      <c r="AK29" s="129" t="s">
        <v>412</v>
      </c>
      <c r="AL29" s="130" t="s">
        <v>453</v>
      </c>
      <c r="AM29" s="129" t="str">
        <f t="shared" si="2"/>
        <v>Remoto Importante</v>
      </c>
      <c r="AN29" s="129" t="s">
        <v>505</v>
      </c>
      <c r="AO29" s="131" t="s">
        <v>526</v>
      </c>
      <c r="AP29" s="132" t="s">
        <v>701</v>
      </c>
      <c r="AQ29" s="132" t="s">
        <v>860</v>
      </c>
      <c r="AR29" s="14"/>
      <c r="AS29" s="129" t="s">
        <v>346</v>
      </c>
      <c r="AZ29" s="117"/>
      <c r="BA29" s="117"/>
    </row>
    <row r="30" spans="1:53" ht="39.9" customHeight="1" x14ac:dyDescent="0.3">
      <c r="Q30" s="35" t="s">
        <v>390</v>
      </c>
      <c r="R30" s="114" t="str">
        <f>AL192</f>
        <v>2E</v>
      </c>
      <c r="S30" s="114" t="str">
        <f>AL193</f>
        <v>2D</v>
      </c>
      <c r="T30" s="114" t="str">
        <f>AL194</f>
        <v>2B</v>
      </c>
      <c r="U30" s="114" t="str">
        <f>AL195</f>
        <v>3E</v>
      </c>
      <c r="V30" s="114" t="str">
        <f>AL196</f>
        <v>2B</v>
      </c>
      <c r="W30" s="114" t="str">
        <f>AL197</f>
        <v>4C</v>
      </c>
      <c r="X30" s="114" t="str">
        <f>AL198</f>
        <v>3D</v>
      </c>
      <c r="AA30" s="12"/>
      <c r="AI30" s="128" t="str">
        <f t="shared" si="0"/>
        <v>SKBG-ALAR</v>
      </c>
      <c r="AJ30" s="129" t="s">
        <v>346</v>
      </c>
      <c r="AK30" s="129" t="s">
        <v>411</v>
      </c>
      <c r="AL30" s="130" t="s">
        <v>458</v>
      </c>
      <c r="AM30" s="129" t="str">
        <f t="shared" si="2"/>
        <v>Improbable Peligroso</v>
      </c>
      <c r="AN30" s="129" t="s">
        <v>506</v>
      </c>
      <c r="AO30" s="131" t="s">
        <v>577</v>
      </c>
      <c r="AP30" s="132" t="s">
        <v>701</v>
      </c>
      <c r="AQ30" s="132" t="s">
        <v>861</v>
      </c>
      <c r="AR30" s="14"/>
      <c r="AS30" s="129" t="s">
        <v>346</v>
      </c>
      <c r="AZ30" s="117"/>
      <c r="BA30" s="117"/>
    </row>
    <row r="31" spans="1:53" ht="39.9" customHeight="1" x14ac:dyDescent="0.3">
      <c r="Q31" s="35" t="s">
        <v>473</v>
      </c>
      <c r="R31" s="114" t="str">
        <f>AL199</f>
        <v>3E</v>
      </c>
      <c r="S31" s="114" t="str">
        <f>AL200</f>
        <v>2D</v>
      </c>
      <c r="T31" s="114" t="str">
        <f>AL201</f>
        <v>2B</v>
      </c>
      <c r="U31" s="114" t="str">
        <f>AL202</f>
        <v>3E</v>
      </c>
      <c r="V31" s="114" t="str">
        <f>AL203</f>
        <v>2B</v>
      </c>
      <c r="W31" s="114" t="str">
        <f>AL204</f>
        <v>2C</v>
      </c>
      <c r="X31" s="114" t="str">
        <f>AL205</f>
        <v>3D</v>
      </c>
      <c r="AA31" s="12"/>
      <c r="AI31" s="121" t="str">
        <f t="shared" si="0"/>
        <v>SKBQ-MACA</v>
      </c>
      <c r="AJ31" s="112" t="s">
        <v>345</v>
      </c>
      <c r="AK31" s="112" t="s">
        <v>406</v>
      </c>
      <c r="AL31" s="122" t="s">
        <v>457</v>
      </c>
      <c r="AM31" s="112" t="str">
        <f t="shared" si="2"/>
        <v>Improbable Catastrófico</v>
      </c>
      <c r="AN31" s="112" t="s">
        <v>498</v>
      </c>
      <c r="AO31" s="123" t="s">
        <v>582</v>
      </c>
      <c r="AP31" s="124" t="s">
        <v>573</v>
      </c>
      <c r="AQ31" s="124" t="s">
        <v>851</v>
      </c>
      <c r="AR31" s="14"/>
      <c r="AS31" s="112" t="s">
        <v>345</v>
      </c>
      <c r="AZ31" s="117"/>
      <c r="BA31" s="117"/>
    </row>
    <row r="32" spans="1:53" ht="39.9" customHeight="1" x14ac:dyDescent="0.3">
      <c r="Q32" s="35" t="s">
        <v>354</v>
      </c>
      <c r="R32" s="114" t="str">
        <f>AL206</f>
        <v>5E</v>
      </c>
      <c r="S32" s="114" t="str">
        <f>AL207</f>
        <v>4D</v>
      </c>
      <c r="T32" s="114" t="str">
        <f>AL208</f>
        <v>2B</v>
      </c>
      <c r="U32" s="114" t="str">
        <f>AL209</f>
        <v>2E</v>
      </c>
      <c r="V32" s="114" t="str">
        <f>AL210</f>
        <v>4B</v>
      </c>
      <c r="W32" s="114" t="str">
        <f>AL211</f>
        <v>3C</v>
      </c>
      <c r="X32" s="114" t="str">
        <f>AL212</f>
        <v>4D</v>
      </c>
      <c r="AA32" s="12"/>
      <c r="AI32" s="121" t="str">
        <f t="shared" si="0"/>
        <v>SKBQ-BASH</v>
      </c>
      <c r="AJ32" s="112" t="s">
        <v>345</v>
      </c>
      <c r="AK32" s="112" t="s">
        <v>407</v>
      </c>
      <c r="AL32" s="122" t="s">
        <v>444</v>
      </c>
      <c r="AM32" s="112" t="str">
        <f t="shared" si="2"/>
        <v>Ocasional Peligroso</v>
      </c>
      <c r="AN32" s="112" t="s">
        <v>499</v>
      </c>
      <c r="AO32" s="123" t="s">
        <v>531</v>
      </c>
      <c r="AP32" s="124" t="s">
        <v>583</v>
      </c>
      <c r="AQ32" s="124" t="s">
        <v>858</v>
      </c>
      <c r="AR32" s="14"/>
      <c r="AS32" s="112" t="s">
        <v>345</v>
      </c>
      <c r="AZ32" s="117"/>
      <c r="BA32" s="117"/>
    </row>
    <row r="33" spans="17:53" ht="39.9" customHeight="1" x14ac:dyDescent="0.3">
      <c r="Q33" s="35" t="s">
        <v>359</v>
      </c>
      <c r="R33" s="114" t="str">
        <f>AL213</f>
        <v>2E</v>
      </c>
      <c r="S33" s="114" t="str">
        <f>AL214</f>
        <v>2D</v>
      </c>
      <c r="T33" s="114" t="str">
        <f>AL215</f>
        <v>1B</v>
      </c>
      <c r="U33" s="114" t="str">
        <f>AL216</f>
        <v>2E</v>
      </c>
      <c r="V33" s="114" t="str">
        <f>AL217</f>
        <v>1B</v>
      </c>
      <c r="W33" s="114" t="str">
        <f>AL218</f>
        <v>2C</v>
      </c>
      <c r="X33" s="114" t="str">
        <f>AL219</f>
        <v>2D</v>
      </c>
      <c r="AI33" s="121" t="str">
        <f t="shared" si="0"/>
        <v>SKBQ-GAP</v>
      </c>
      <c r="AJ33" s="112" t="s">
        <v>345</v>
      </c>
      <c r="AK33" s="112" t="s">
        <v>408</v>
      </c>
      <c r="AL33" s="122" t="s">
        <v>460</v>
      </c>
      <c r="AM33" s="112" t="str">
        <f t="shared" si="2"/>
        <v>Improbable Leve</v>
      </c>
      <c r="AN33" s="112" t="s">
        <v>500</v>
      </c>
      <c r="AO33" s="123" t="s">
        <v>585</v>
      </c>
      <c r="AP33" s="124" t="s">
        <v>584</v>
      </c>
      <c r="AQ33" s="124" t="s">
        <v>859</v>
      </c>
      <c r="AR33" s="14"/>
      <c r="AS33" s="112" t="s">
        <v>345</v>
      </c>
      <c r="AZ33" s="117"/>
      <c r="BA33" s="117"/>
    </row>
    <row r="34" spans="17:53" ht="39.9" customHeight="1" x14ac:dyDescent="0.3">
      <c r="Q34" s="35" t="s">
        <v>388</v>
      </c>
      <c r="R34" s="114" t="str">
        <f>AL220</f>
        <v>3E</v>
      </c>
      <c r="S34" s="114" t="str">
        <f>AL221</f>
        <v>4D</v>
      </c>
      <c r="T34" s="114" t="str">
        <f>AL222</f>
        <v>2B</v>
      </c>
      <c r="U34" s="114" t="str">
        <f>AL223</f>
        <v>2E</v>
      </c>
      <c r="V34" s="114" t="str">
        <f>AL224</f>
        <v>3B</v>
      </c>
      <c r="W34" s="114" t="str">
        <f>AL225</f>
        <v>2C</v>
      </c>
      <c r="X34" s="114" t="str">
        <f>AL226</f>
        <v>2D</v>
      </c>
      <c r="AI34" s="121" t="str">
        <f t="shared" si="0"/>
        <v>SKBQ-CFIT</v>
      </c>
      <c r="AJ34" s="112" t="s">
        <v>345</v>
      </c>
      <c r="AK34" s="112" t="s">
        <v>409</v>
      </c>
      <c r="AL34" s="122" t="s">
        <v>457</v>
      </c>
      <c r="AM34" s="112" t="str">
        <f t="shared" si="2"/>
        <v>Improbable Catastrófico</v>
      </c>
      <c r="AN34" s="112" t="s">
        <v>501</v>
      </c>
      <c r="AO34" s="123" t="s">
        <v>586</v>
      </c>
      <c r="AP34" s="124" t="s">
        <v>587</v>
      </c>
      <c r="AQ34" s="124" t="s">
        <v>854</v>
      </c>
      <c r="AR34" s="14"/>
      <c r="AS34" s="112" t="s">
        <v>345</v>
      </c>
      <c r="AZ34" s="117"/>
      <c r="BA34" s="117"/>
    </row>
    <row r="35" spans="17:53" ht="39.9" customHeight="1" x14ac:dyDescent="0.3">
      <c r="Q35" s="35" t="s">
        <v>360</v>
      </c>
      <c r="R35" s="114" t="str">
        <f>AL227</f>
        <v>2E</v>
      </c>
      <c r="S35" s="114" t="str">
        <f>AL228</f>
        <v>4D</v>
      </c>
      <c r="T35" s="114" t="str">
        <f>AL229</f>
        <v>3B</v>
      </c>
      <c r="U35" s="114" t="str">
        <f>AL230</f>
        <v>2E</v>
      </c>
      <c r="V35" s="114" t="str">
        <f>AL231</f>
        <v>3B</v>
      </c>
      <c r="W35" s="114" t="str">
        <f>AL232</f>
        <v>2C</v>
      </c>
      <c r="X35" s="114" t="str">
        <f>AL233</f>
        <v>2D</v>
      </c>
      <c r="AI35" s="121" t="str">
        <f t="shared" ref="AI35:AI60" si="9">CONCATENATE(AJ35,"-",AK35)</f>
        <v>SKBQ-FOD</v>
      </c>
      <c r="AJ35" s="112" t="s">
        <v>345</v>
      </c>
      <c r="AK35" s="112" t="s">
        <v>410</v>
      </c>
      <c r="AL35" s="122" t="s">
        <v>460</v>
      </c>
      <c r="AM35" s="112" t="str">
        <f t="shared" si="2"/>
        <v>Improbable Leve</v>
      </c>
      <c r="AN35" s="112" t="s">
        <v>503</v>
      </c>
      <c r="AO35" s="123" t="s">
        <v>524</v>
      </c>
      <c r="AP35" s="124" t="s">
        <v>701</v>
      </c>
      <c r="AQ35" s="124" t="s">
        <v>855</v>
      </c>
      <c r="AR35" s="14"/>
      <c r="AS35" s="112" t="s">
        <v>345</v>
      </c>
      <c r="AZ35" s="117"/>
      <c r="BA35" s="117"/>
    </row>
    <row r="36" spans="17:53" ht="39.9" customHeight="1" x14ac:dyDescent="0.3">
      <c r="Q36" s="35" t="s">
        <v>362</v>
      </c>
      <c r="R36" s="114" t="str">
        <f>AL234</f>
        <v>3E</v>
      </c>
      <c r="S36" s="114" t="str">
        <f>AL235</f>
        <v>4D</v>
      </c>
      <c r="T36" s="114" t="str">
        <f>AL236</f>
        <v>2B</v>
      </c>
      <c r="U36" s="114" t="str">
        <f>AL237</f>
        <v>2E</v>
      </c>
      <c r="V36" s="114" t="str">
        <f>AL238</f>
        <v>4B</v>
      </c>
      <c r="W36" s="114" t="str">
        <f>AL239</f>
        <v>4C</v>
      </c>
      <c r="X36" s="114" t="str">
        <f>AL240</f>
        <v>3E</v>
      </c>
      <c r="AI36" s="121" t="str">
        <f t="shared" si="9"/>
        <v>SKBQ-RIP</v>
      </c>
      <c r="AJ36" s="112" t="s">
        <v>345</v>
      </c>
      <c r="AK36" s="112" t="s">
        <v>412</v>
      </c>
      <c r="AL36" s="122" t="s">
        <v>459</v>
      </c>
      <c r="AM36" s="112" t="str">
        <f t="shared" si="2"/>
        <v>Improbable Importante</v>
      </c>
      <c r="AN36" s="112" t="s">
        <v>505</v>
      </c>
      <c r="AO36" s="123" t="s">
        <v>588</v>
      </c>
      <c r="AP36" s="124" t="s">
        <v>701</v>
      </c>
      <c r="AQ36" s="124" t="s">
        <v>860</v>
      </c>
      <c r="AR36" s="14"/>
      <c r="AS36" s="112" t="s">
        <v>345</v>
      </c>
      <c r="AZ36" s="117"/>
      <c r="BA36" s="117"/>
    </row>
    <row r="37" spans="17:53" ht="39.9" customHeight="1" x14ac:dyDescent="0.3">
      <c r="Q37" s="35" t="s">
        <v>361</v>
      </c>
      <c r="R37" s="114" t="str">
        <f>AL241</f>
        <v>3E</v>
      </c>
      <c r="S37" s="114" t="str">
        <f>AL242</f>
        <v>3D</v>
      </c>
      <c r="T37" s="114" t="str">
        <f>AL243</f>
        <v>3B</v>
      </c>
      <c r="U37" s="114" t="str">
        <f>AL244</f>
        <v>2E</v>
      </c>
      <c r="V37" s="114" t="str">
        <f>AL245</f>
        <v>3B</v>
      </c>
      <c r="W37" s="114" t="str">
        <f>AL246</f>
        <v>4C</v>
      </c>
      <c r="X37" s="114" t="str">
        <f>AL247</f>
        <v>3E</v>
      </c>
      <c r="AI37" s="121" t="str">
        <f t="shared" si="9"/>
        <v>SKBQ-ALAR</v>
      </c>
      <c r="AJ37" s="112" t="s">
        <v>345</v>
      </c>
      <c r="AK37" s="112" t="s">
        <v>411</v>
      </c>
      <c r="AL37" s="122" t="s">
        <v>458</v>
      </c>
      <c r="AM37" s="112" t="str">
        <f t="shared" si="2"/>
        <v>Improbable Peligroso</v>
      </c>
      <c r="AN37" s="112" t="s">
        <v>506</v>
      </c>
      <c r="AO37" s="123" t="s">
        <v>577</v>
      </c>
      <c r="AP37" s="124" t="s">
        <v>701</v>
      </c>
      <c r="AQ37" s="124" t="s">
        <v>861</v>
      </c>
      <c r="AR37" s="14"/>
      <c r="AS37" s="112" t="s">
        <v>345</v>
      </c>
      <c r="AZ37" s="117"/>
      <c r="BA37" s="117"/>
    </row>
    <row r="38" spans="17:53" ht="39.9" customHeight="1" x14ac:dyDescent="0.3">
      <c r="Q38" s="35" t="s">
        <v>387</v>
      </c>
      <c r="R38" s="114" t="str">
        <f>AL248</f>
        <v>3E</v>
      </c>
      <c r="S38" s="114" t="str">
        <f>AL249</f>
        <v>4D</v>
      </c>
      <c r="T38" s="114" t="str">
        <f>AL250</f>
        <v>2B</v>
      </c>
      <c r="U38" s="114" t="str">
        <f>AL251</f>
        <v>2E</v>
      </c>
      <c r="V38" s="114" t="str">
        <f>AL252</f>
        <v>2B</v>
      </c>
      <c r="W38" s="114" t="str">
        <f>AL253</f>
        <v>2C</v>
      </c>
      <c r="X38" s="114" t="str">
        <f>AL254</f>
        <v>2E</v>
      </c>
      <c r="AI38" s="128" t="str">
        <f t="shared" si="9"/>
        <v>SKCB-MACA</v>
      </c>
      <c r="AJ38" s="129" t="s">
        <v>386</v>
      </c>
      <c r="AK38" s="129" t="s">
        <v>406</v>
      </c>
      <c r="AL38" s="130" t="s">
        <v>451</v>
      </c>
      <c r="AM38" s="129" t="str">
        <f t="shared" si="2"/>
        <v>Remoto Catastrófico</v>
      </c>
      <c r="AN38" s="129" t="s">
        <v>498</v>
      </c>
      <c r="AO38" s="131" t="s">
        <v>527</v>
      </c>
      <c r="AP38" s="132" t="s">
        <v>701</v>
      </c>
      <c r="AQ38" s="132" t="s">
        <v>851</v>
      </c>
      <c r="AR38" s="14" t="s">
        <v>11</v>
      </c>
      <c r="AS38" s="129" t="s">
        <v>386</v>
      </c>
      <c r="AZ38" s="117"/>
      <c r="BA38" s="117"/>
    </row>
    <row r="39" spans="17:53" ht="39.9" customHeight="1" x14ac:dyDescent="0.3">
      <c r="R39" s="14" t="s">
        <v>427</v>
      </c>
      <c r="S39" s="14" t="s">
        <v>428</v>
      </c>
      <c r="T39" s="14" t="s">
        <v>430</v>
      </c>
      <c r="U39" s="14" t="s">
        <v>427</v>
      </c>
      <c r="V39" s="14" t="s">
        <v>413</v>
      </c>
      <c r="W39" s="14" t="s">
        <v>429</v>
      </c>
      <c r="X39" s="14" t="s">
        <v>428</v>
      </c>
      <c r="AI39" s="128" t="str">
        <f t="shared" si="9"/>
        <v>SKCB-BASH</v>
      </c>
      <c r="AJ39" s="129" t="s">
        <v>386</v>
      </c>
      <c r="AK39" s="129" t="s">
        <v>407</v>
      </c>
      <c r="AL39" s="130" t="s">
        <v>452</v>
      </c>
      <c r="AM39" s="129" t="str">
        <f t="shared" si="2"/>
        <v>Remoto Peligroso</v>
      </c>
      <c r="AN39" s="129" t="s">
        <v>499</v>
      </c>
      <c r="AO39" s="131" t="s">
        <v>551</v>
      </c>
      <c r="AP39" s="132" t="s">
        <v>550</v>
      </c>
      <c r="AQ39" s="132" t="s">
        <v>852</v>
      </c>
      <c r="AR39" s="14" t="s">
        <v>11</v>
      </c>
      <c r="AS39" s="129" t="s">
        <v>386</v>
      </c>
      <c r="AZ39" s="117"/>
      <c r="BA39" s="117"/>
    </row>
    <row r="40" spans="17:53" ht="39.9" customHeight="1" x14ac:dyDescent="0.3">
      <c r="AI40" s="128" t="str">
        <f t="shared" si="9"/>
        <v>SKCB-GAP</v>
      </c>
      <c r="AJ40" s="129" t="s">
        <v>386</v>
      </c>
      <c r="AK40" s="129" t="s">
        <v>408</v>
      </c>
      <c r="AL40" s="130" t="s">
        <v>460</v>
      </c>
      <c r="AM40" s="129" t="str">
        <f t="shared" si="2"/>
        <v>Improbable Leve</v>
      </c>
      <c r="AN40" s="129" t="s">
        <v>500</v>
      </c>
      <c r="AO40" s="131" t="s">
        <v>521</v>
      </c>
      <c r="AP40" s="132" t="s">
        <v>701</v>
      </c>
      <c r="AQ40" s="132" t="s">
        <v>853</v>
      </c>
      <c r="AR40" s="14" t="s">
        <v>11</v>
      </c>
      <c r="AS40" s="129" t="s">
        <v>386</v>
      </c>
      <c r="AZ40" s="117"/>
      <c r="BA40" s="117"/>
    </row>
    <row r="41" spans="17:53" ht="39.9" customHeight="1" x14ac:dyDescent="0.3">
      <c r="AI41" s="128" t="str">
        <f t="shared" si="9"/>
        <v>SKCB-CFIT</v>
      </c>
      <c r="AJ41" s="129" t="s">
        <v>386</v>
      </c>
      <c r="AK41" s="129" t="s">
        <v>409</v>
      </c>
      <c r="AL41" s="130" t="s">
        <v>457</v>
      </c>
      <c r="AM41" s="129" t="str">
        <f t="shared" si="2"/>
        <v>Improbable Catastrófico</v>
      </c>
      <c r="AN41" s="129" t="s">
        <v>501</v>
      </c>
      <c r="AO41" s="131" t="s">
        <v>528</v>
      </c>
      <c r="AP41" s="132" t="s">
        <v>701</v>
      </c>
      <c r="AQ41" s="132" t="s">
        <v>854</v>
      </c>
      <c r="AR41" s="14" t="s">
        <v>11</v>
      </c>
      <c r="AS41" s="129" t="s">
        <v>386</v>
      </c>
      <c r="AZ41" s="117"/>
      <c r="BA41" s="117"/>
    </row>
    <row r="42" spans="17:53" ht="39.9" customHeight="1" x14ac:dyDescent="0.3">
      <c r="Z42" s="115" t="s">
        <v>492</v>
      </c>
      <c r="AA42" s="16" t="s">
        <v>493</v>
      </c>
      <c r="AI42" s="128" t="str">
        <f t="shared" si="9"/>
        <v>SKCB-FOD</v>
      </c>
      <c r="AJ42" s="129" t="s">
        <v>386</v>
      </c>
      <c r="AK42" s="129" t="s">
        <v>410</v>
      </c>
      <c r="AL42" s="130" t="s">
        <v>454</v>
      </c>
      <c r="AM42" s="129" t="str">
        <f t="shared" si="2"/>
        <v>Remoto Leve</v>
      </c>
      <c r="AN42" s="129" t="s">
        <v>503</v>
      </c>
      <c r="AO42" s="131" t="s">
        <v>522</v>
      </c>
      <c r="AP42" s="132" t="s">
        <v>701</v>
      </c>
      <c r="AQ42" s="132" t="s">
        <v>855</v>
      </c>
      <c r="AR42" s="14" t="s">
        <v>11</v>
      </c>
      <c r="AS42" s="129" t="s">
        <v>386</v>
      </c>
      <c r="AZ42" s="117"/>
      <c r="BA42" s="117"/>
    </row>
    <row r="43" spans="17:53" ht="39.9" customHeight="1" x14ac:dyDescent="0.3">
      <c r="AI43" s="128" t="str">
        <f t="shared" si="9"/>
        <v>SKCB-RIP</v>
      </c>
      <c r="AJ43" s="129" t="s">
        <v>386</v>
      </c>
      <c r="AK43" s="129" t="s">
        <v>412</v>
      </c>
      <c r="AL43" s="130" t="s">
        <v>445</v>
      </c>
      <c r="AM43" s="129" t="str">
        <f t="shared" si="2"/>
        <v>Ocasional Importante</v>
      </c>
      <c r="AN43" s="129" t="s">
        <v>505</v>
      </c>
      <c r="AO43" s="131" t="s">
        <v>555</v>
      </c>
      <c r="AP43" s="132" t="s">
        <v>589</v>
      </c>
      <c r="AQ43" s="132" t="s">
        <v>856</v>
      </c>
      <c r="AR43" s="14" t="s">
        <v>11</v>
      </c>
      <c r="AS43" s="129" t="s">
        <v>386</v>
      </c>
      <c r="AZ43" s="117"/>
      <c r="BA43" s="117"/>
    </row>
    <row r="44" spans="17:53" ht="39.9" customHeight="1" x14ac:dyDescent="0.3">
      <c r="AI44" s="128" t="str">
        <f t="shared" si="9"/>
        <v>SKCB-ALAR</v>
      </c>
      <c r="AJ44" s="129" t="s">
        <v>386</v>
      </c>
      <c r="AK44" s="129" t="s">
        <v>411</v>
      </c>
      <c r="AL44" s="130" t="s">
        <v>457</v>
      </c>
      <c r="AM44" s="129" t="str">
        <f t="shared" si="2"/>
        <v>Improbable Catastrófico</v>
      </c>
      <c r="AN44" s="129" t="s">
        <v>506</v>
      </c>
      <c r="AO44" s="131" t="s">
        <v>570</v>
      </c>
      <c r="AP44" s="132" t="s">
        <v>590</v>
      </c>
      <c r="AQ44" s="132" t="s">
        <v>857</v>
      </c>
      <c r="AR44" s="14" t="s">
        <v>11</v>
      </c>
      <c r="AS44" s="129" t="s">
        <v>386</v>
      </c>
      <c r="AZ44" s="117"/>
      <c r="BA44" s="117"/>
    </row>
    <row r="45" spans="17:53" ht="39.9" customHeight="1" x14ac:dyDescent="0.3">
      <c r="AI45" s="121" t="str">
        <f t="shared" si="9"/>
        <v>SKCG-MACA</v>
      </c>
      <c r="AJ45" s="112" t="s">
        <v>365</v>
      </c>
      <c r="AK45" s="112" t="s">
        <v>406</v>
      </c>
      <c r="AL45" s="122" t="s">
        <v>451</v>
      </c>
      <c r="AM45" s="112" t="str">
        <f t="shared" si="2"/>
        <v>Remoto Catastrófico</v>
      </c>
      <c r="AN45" s="112" t="s">
        <v>498</v>
      </c>
      <c r="AO45" s="123" t="s">
        <v>591</v>
      </c>
      <c r="AP45" s="124" t="s">
        <v>573</v>
      </c>
      <c r="AQ45" s="124" t="s">
        <v>851</v>
      </c>
      <c r="AR45" s="14"/>
      <c r="AS45" s="112" t="s">
        <v>365</v>
      </c>
      <c r="AZ45" s="117"/>
      <c r="BA45" s="117"/>
    </row>
    <row r="46" spans="17:53" ht="39.9" customHeight="1" x14ac:dyDescent="0.3">
      <c r="AI46" s="121" t="str">
        <f t="shared" si="9"/>
        <v>SKCG-BASH</v>
      </c>
      <c r="AJ46" s="112" t="s">
        <v>365</v>
      </c>
      <c r="AK46" s="112" t="s">
        <v>407</v>
      </c>
      <c r="AL46" s="122" t="s">
        <v>444</v>
      </c>
      <c r="AM46" s="112" t="str">
        <f t="shared" si="2"/>
        <v>Ocasional Peligroso</v>
      </c>
      <c r="AN46" s="112" t="s">
        <v>499</v>
      </c>
      <c r="AO46" s="123" t="s">
        <v>531</v>
      </c>
      <c r="AP46" s="124" t="s">
        <v>592</v>
      </c>
      <c r="AQ46" s="124" t="s">
        <v>858</v>
      </c>
      <c r="AR46" s="14"/>
      <c r="AS46" s="112" t="s">
        <v>365</v>
      </c>
      <c r="AZ46" s="117"/>
      <c r="BA46" s="117"/>
    </row>
    <row r="47" spans="17:53" ht="39.9" customHeight="1" x14ac:dyDescent="0.3">
      <c r="AI47" s="121" t="str">
        <f t="shared" si="9"/>
        <v>SKCG-GAP</v>
      </c>
      <c r="AJ47" s="112" t="s">
        <v>365</v>
      </c>
      <c r="AK47" s="112" t="s">
        <v>408</v>
      </c>
      <c r="AL47" s="122" t="s">
        <v>454</v>
      </c>
      <c r="AM47" s="112" t="str">
        <f t="shared" si="2"/>
        <v>Remoto Leve</v>
      </c>
      <c r="AN47" s="112" t="s">
        <v>500</v>
      </c>
      <c r="AO47" s="123" t="s">
        <v>594</v>
      </c>
      <c r="AP47" s="124" t="s">
        <v>593</v>
      </c>
      <c r="AQ47" s="124" t="s">
        <v>859</v>
      </c>
      <c r="AR47" s="14"/>
      <c r="AS47" s="112" t="s">
        <v>365</v>
      </c>
      <c r="AZ47" s="117"/>
      <c r="BA47" s="117"/>
    </row>
    <row r="48" spans="17:53" ht="39.9" customHeight="1" x14ac:dyDescent="0.3">
      <c r="AI48" s="121" t="str">
        <f t="shared" si="9"/>
        <v>SKCG-CFIT</v>
      </c>
      <c r="AJ48" s="112" t="s">
        <v>365</v>
      </c>
      <c r="AK48" s="112" t="s">
        <v>409</v>
      </c>
      <c r="AL48" s="122" t="s">
        <v>457</v>
      </c>
      <c r="AM48" s="112" t="str">
        <f t="shared" si="2"/>
        <v>Improbable Catastrófico</v>
      </c>
      <c r="AN48" s="112" t="s">
        <v>501</v>
      </c>
      <c r="AO48" s="123" t="s">
        <v>595</v>
      </c>
      <c r="AP48" s="124" t="s">
        <v>596</v>
      </c>
      <c r="AQ48" s="124" t="s">
        <v>854</v>
      </c>
      <c r="AR48" s="14"/>
      <c r="AS48" s="112" t="s">
        <v>365</v>
      </c>
      <c r="AZ48" s="117"/>
      <c r="BA48" s="117"/>
    </row>
    <row r="49" spans="35:53" ht="39.9" customHeight="1" x14ac:dyDescent="0.3">
      <c r="AI49" s="121" t="str">
        <f t="shared" si="9"/>
        <v>SKCG-FOD</v>
      </c>
      <c r="AJ49" s="112" t="s">
        <v>365</v>
      </c>
      <c r="AK49" s="112" t="s">
        <v>410</v>
      </c>
      <c r="AL49" s="122" t="s">
        <v>460</v>
      </c>
      <c r="AM49" s="112" t="str">
        <f t="shared" si="2"/>
        <v>Improbable Leve</v>
      </c>
      <c r="AN49" s="112" t="s">
        <v>503</v>
      </c>
      <c r="AO49" s="123" t="s">
        <v>524</v>
      </c>
      <c r="AP49" s="124" t="s">
        <v>701</v>
      </c>
      <c r="AQ49" s="124" t="s">
        <v>855</v>
      </c>
      <c r="AR49" s="14"/>
      <c r="AS49" s="112" t="s">
        <v>365</v>
      </c>
      <c r="AZ49" s="117"/>
      <c r="BA49" s="117"/>
    </row>
    <row r="50" spans="35:53" ht="39.9" customHeight="1" x14ac:dyDescent="0.3">
      <c r="AI50" s="121" t="str">
        <f t="shared" si="9"/>
        <v>SKCG-RIP</v>
      </c>
      <c r="AJ50" s="112" t="s">
        <v>365</v>
      </c>
      <c r="AK50" s="112" t="s">
        <v>412</v>
      </c>
      <c r="AL50" s="122" t="s">
        <v>459</v>
      </c>
      <c r="AM50" s="112" t="str">
        <f t="shared" si="2"/>
        <v>Improbable Importante</v>
      </c>
      <c r="AN50" s="112" t="s">
        <v>505</v>
      </c>
      <c r="AO50" s="123" t="s">
        <v>597</v>
      </c>
      <c r="AP50" s="124" t="s">
        <v>598</v>
      </c>
      <c r="AQ50" s="124" t="s">
        <v>860</v>
      </c>
      <c r="AR50" s="14"/>
      <c r="AS50" s="112" t="s">
        <v>365</v>
      </c>
      <c r="AZ50" s="117"/>
      <c r="BA50" s="117"/>
    </row>
    <row r="51" spans="35:53" ht="39.9" customHeight="1" x14ac:dyDescent="0.3">
      <c r="AI51" s="121" t="str">
        <f t="shared" si="9"/>
        <v>SKCG-ALAR</v>
      </c>
      <c r="AJ51" s="112" t="s">
        <v>365</v>
      </c>
      <c r="AK51" s="112" t="s">
        <v>411</v>
      </c>
      <c r="AL51" s="122" t="s">
        <v>458</v>
      </c>
      <c r="AM51" s="112" t="str">
        <f t="shared" si="2"/>
        <v>Improbable Peligroso</v>
      </c>
      <c r="AN51" s="112" t="s">
        <v>506</v>
      </c>
      <c r="AO51" s="123" t="s">
        <v>577</v>
      </c>
      <c r="AP51" s="124" t="s">
        <v>599</v>
      </c>
      <c r="AQ51" s="124" t="s">
        <v>861</v>
      </c>
      <c r="AR51" s="14"/>
      <c r="AS51" s="112" t="s">
        <v>365</v>
      </c>
      <c r="AZ51" s="117"/>
      <c r="BA51" s="117"/>
    </row>
    <row r="52" spans="35:53" ht="39.9" customHeight="1" x14ac:dyDescent="0.3">
      <c r="AI52" s="128" t="str">
        <f t="shared" si="9"/>
        <v>SKCL-MACA</v>
      </c>
      <c r="AJ52" s="129" t="s">
        <v>347</v>
      </c>
      <c r="AK52" s="129" t="s">
        <v>406</v>
      </c>
      <c r="AL52" s="130" t="s">
        <v>451</v>
      </c>
      <c r="AM52" s="129" t="str">
        <f t="shared" si="2"/>
        <v>Remoto Catastrófico</v>
      </c>
      <c r="AN52" s="129" t="s">
        <v>498</v>
      </c>
      <c r="AO52" s="131" t="s">
        <v>572</v>
      </c>
      <c r="AP52" s="132" t="s">
        <v>573</v>
      </c>
      <c r="AQ52" s="132" t="s">
        <v>851</v>
      </c>
      <c r="AR52" s="14"/>
      <c r="AS52" s="129" t="s">
        <v>347</v>
      </c>
      <c r="AZ52" s="117"/>
      <c r="BA52" s="117"/>
    </row>
    <row r="53" spans="35:53" ht="39.9" customHeight="1" x14ac:dyDescent="0.3">
      <c r="AI53" s="128" t="str">
        <f t="shared" si="9"/>
        <v>SKCL-BASH</v>
      </c>
      <c r="AJ53" s="129" t="s">
        <v>347</v>
      </c>
      <c r="AK53" s="129" t="s">
        <v>407</v>
      </c>
      <c r="AL53" s="130" t="s">
        <v>452</v>
      </c>
      <c r="AM53" s="129" t="str">
        <f t="shared" si="2"/>
        <v>Remoto Peligroso</v>
      </c>
      <c r="AN53" s="129" t="s">
        <v>499</v>
      </c>
      <c r="AO53" s="131" t="s">
        <v>523</v>
      </c>
      <c r="AP53" s="132" t="s">
        <v>701</v>
      </c>
      <c r="AQ53" s="132" t="s">
        <v>858</v>
      </c>
      <c r="AR53" s="14"/>
      <c r="AS53" s="129" t="s">
        <v>347</v>
      </c>
      <c r="AZ53" s="117"/>
      <c r="BA53" s="117"/>
    </row>
    <row r="54" spans="35:53" ht="39.9" customHeight="1" x14ac:dyDescent="0.3">
      <c r="AI54" s="128" t="str">
        <f t="shared" si="9"/>
        <v>SKCL-GAP</v>
      </c>
      <c r="AJ54" s="129" t="s">
        <v>347</v>
      </c>
      <c r="AK54" s="129" t="s">
        <v>408</v>
      </c>
      <c r="AL54" s="130" t="s">
        <v>460</v>
      </c>
      <c r="AM54" s="129" t="str">
        <f t="shared" si="2"/>
        <v>Improbable Leve</v>
      </c>
      <c r="AN54" s="129" t="s">
        <v>500</v>
      </c>
      <c r="AO54" s="131" t="s">
        <v>574</v>
      </c>
      <c r="AP54" s="132" t="s">
        <v>575</v>
      </c>
      <c r="AQ54" s="132" t="s">
        <v>859</v>
      </c>
      <c r="AR54" s="14"/>
      <c r="AS54" s="129" t="s">
        <v>347</v>
      </c>
      <c r="AZ54" s="117"/>
      <c r="BA54" s="117"/>
    </row>
    <row r="55" spans="35:53" ht="39.9" customHeight="1" x14ac:dyDescent="0.3">
      <c r="AI55" s="128" t="str">
        <f t="shared" si="9"/>
        <v>SKCL-CFIT</v>
      </c>
      <c r="AJ55" s="129" t="s">
        <v>347</v>
      </c>
      <c r="AK55" s="129" t="s">
        <v>409</v>
      </c>
      <c r="AL55" s="130" t="s">
        <v>457</v>
      </c>
      <c r="AM55" s="129" t="str">
        <f t="shared" si="2"/>
        <v>Improbable Catastrófico</v>
      </c>
      <c r="AN55" s="129" t="s">
        <v>501</v>
      </c>
      <c r="AO55" s="131" t="s">
        <v>529</v>
      </c>
      <c r="AP55" s="132" t="s">
        <v>701</v>
      </c>
      <c r="AQ55" s="132" t="s">
        <v>854</v>
      </c>
      <c r="AR55" s="14"/>
      <c r="AS55" s="129" t="s">
        <v>347</v>
      </c>
      <c r="AZ55" s="117"/>
      <c r="BA55" s="117"/>
    </row>
    <row r="56" spans="35:53" ht="39.9" customHeight="1" x14ac:dyDescent="0.3">
      <c r="AI56" s="128" t="str">
        <f t="shared" si="9"/>
        <v>SKCL-FOD</v>
      </c>
      <c r="AJ56" s="129" t="s">
        <v>347</v>
      </c>
      <c r="AK56" s="129" t="s">
        <v>410</v>
      </c>
      <c r="AL56" s="130" t="s">
        <v>460</v>
      </c>
      <c r="AM56" s="129" t="str">
        <f t="shared" si="2"/>
        <v>Improbable Leve</v>
      </c>
      <c r="AN56" s="129" t="s">
        <v>503</v>
      </c>
      <c r="AO56" s="131" t="s">
        <v>524</v>
      </c>
      <c r="AP56" s="132" t="s">
        <v>701</v>
      </c>
      <c r="AQ56" s="132" t="s">
        <v>855</v>
      </c>
      <c r="AR56" s="14"/>
      <c r="AS56" s="129" t="s">
        <v>347</v>
      </c>
      <c r="AZ56" s="117"/>
      <c r="BA56" s="117"/>
    </row>
    <row r="57" spans="35:53" ht="39.9" customHeight="1" x14ac:dyDescent="0.3">
      <c r="AI57" s="128" t="str">
        <f t="shared" si="9"/>
        <v>SKCL-RIP</v>
      </c>
      <c r="AJ57" s="129" t="s">
        <v>347</v>
      </c>
      <c r="AK57" s="129" t="s">
        <v>412</v>
      </c>
      <c r="AL57" s="130" t="s">
        <v>459</v>
      </c>
      <c r="AM57" s="129" t="str">
        <f t="shared" si="2"/>
        <v>Improbable Importante</v>
      </c>
      <c r="AN57" s="129" t="s">
        <v>505</v>
      </c>
      <c r="AO57" s="131" t="s">
        <v>600</v>
      </c>
      <c r="AP57" s="132" t="s">
        <v>701</v>
      </c>
      <c r="AQ57" s="132" t="s">
        <v>860</v>
      </c>
      <c r="AR57" s="14"/>
      <c r="AS57" s="129" t="s">
        <v>347</v>
      </c>
      <c r="AZ57" s="117"/>
      <c r="BA57" s="117"/>
    </row>
    <row r="58" spans="35:53" ht="39.9" customHeight="1" x14ac:dyDescent="0.3">
      <c r="AI58" s="128" t="str">
        <f t="shared" si="9"/>
        <v>SKCL-ALAR</v>
      </c>
      <c r="AJ58" s="129" t="s">
        <v>347</v>
      </c>
      <c r="AK58" s="129" t="s">
        <v>411</v>
      </c>
      <c r="AL58" s="130" t="s">
        <v>458</v>
      </c>
      <c r="AM58" s="129" t="str">
        <f t="shared" si="2"/>
        <v>Improbable Peligroso</v>
      </c>
      <c r="AN58" s="129" t="s">
        <v>506</v>
      </c>
      <c r="AO58" s="131" t="s">
        <v>577</v>
      </c>
      <c r="AP58" s="132" t="s">
        <v>601</v>
      </c>
      <c r="AQ58" s="132" t="s">
        <v>861</v>
      </c>
      <c r="AR58" s="14"/>
      <c r="AS58" s="129" t="s">
        <v>347</v>
      </c>
      <c r="AZ58" s="117"/>
      <c r="BA58" s="117"/>
    </row>
    <row r="59" spans="35:53" ht="39.9" customHeight="1" x14ac:dyDescent="0.3">
      <c r="AI59" s="121" t="str">
        <f t="shared" si="9"/>
        <v>SKCZ-MACA</v>
      </c>
      <c r="AJ59" s="112" t="s">
        <v>349</v>
      </c>
      <c r="AK59" s="112" t="s">
        <v>406</v>
      </c>
      <c r="AL59" s="122" t="s">
        <v>451</v>
      </c>
      <c r="AM59" s="112" t="str">
        <f t="shared" si="2"/>
        <v>Remoto Catastrófico</v>
      </c>
      <c r="AN59" s="112" t="s">
        <v>498</v>
      </c>
      <c r="AO59" s="123" t="s">
        <v>530</v>
      </c>
      <c r="AP59" s="124" t="s">
        <v>701</v>
      </c>
      <c r="AQ59" s="124" t="s">
        <v>851</v>
      </c>
      <c r="AR59" s="14"/>
      <c r="AS59" s="112" t="s">
        <v>349</v>
      </c>
      <c r="AZ59" s="117"/>
      <c r="BA59" s="117"/>
    </row>
    <row r="60" spans="35:53" ht="39.9" customHeight="1" x14ac:dyDescent="0.3">
      <c r="AI60" s="121" t="str">
        <f t="shared" si="9"/>
        <v>SKCZ-BASH</v>
      </c>
      <c r="AJ60" s="112" t="s">
        <v>349</v>
      </c>
      <c r="AK60" s="112" t="s">
        <v>407</v>
      </c>
      <c r="AL60" s="122" t="s">
        <v>452</v>
      </c>
      <c r="AM60" s="112" t="str">
        <f t="shared" si="2"/>
        <v>Remoto Peligroso</v>
      </c>
      <c r="AN60" s="112" t="s">
        <v>499</v>
      </c>
      <c r="AO60" s="123" t="s">
        <v>531</v>
      </c>
      <c r="AP60" s="124" t="s">
        <v>701</v>
      </c>
      <c r="AQ60" s="124" t="s">
        <v>858</v>
      </c>
      <c r="AR60" s="14"/>
      <c r="AS60" s="112" t="s">
        <v>349</v>
      </c>
      <c r="AZ60" s="117"/>
      <c r="BA60" s="117"/>
    </row>
    <row r="61" spans="35:53" ht="39.9" customHeight="1" x14ac:dyDescent="0.3">
      <c r="AI61" s="121" t="str">
        <f t="shared" ref="AI61:AI124" si="10">CONCATENATE(AJ61,"-",AK61)</f>
        <v>SKCZ-GAP</v>
      </c>
      <c r="AJ61" s="112" t="s">
        <v>349</v>
      </c>
      <c r="AK61" s="112" t="s">
        <v>408</v>
      </c>
      <c r="AL61" s="122" t="s">
        <v>466</v>
      </c>
      <c r="AM61" s="112" t="str">
        <f t="shared" si="2"/>
        <v>Extremadamente Improbable Leve</v>
      </c>
      <c r="AN61" s="112" t="s">
        <v>500</v>
      </c>
      <c r="AO61" s="123" t="s">
        <v>602</v>
      </c>
      <c r="AP61" s="124" t="s">
        <v>575</v>
      </c>
      <c r="AQ61" s="124" t="s">
        <v>859</v>
      </c>
      <c r="AR61" s="14"/>
      <c r="AS61" s="112" t="s">
        <v>349</v>
      </c>
      <c r="AZ61" s="117"/>
      <c r="BA61" s="117"/>
    </row>
    <row r="62" spans="35:53" ht="39.9" customHeight="1" x14ac:dyDescent="0.3">
      <c r="AI62" s="121" t="str">
        <f t="shared" si="10"/>
        <v>SKCZ-CFIT</v>
      </c>
      <c r="AJ62" s="112" t="s">
        <v>349</v>
      </c>
      <c r="AK62" s="112" t="s">
        <v>409</v>
      </c>
      <c r="AL62" s="122" t="s">
        <v>457</v>
      </c>
      <c r="AM62" s="112" t="str">
        <f t="shared" si="2"/>
        <v>Improbable Catastrófico</v>
      </c>
      <c r="AN62" s="112" t="s">
        <v>501</v>
      </c>
      <c r="AO62" s="123" t="s">
        <v>603</v>
      </c>
      <c r="AP62" s="124" t="s">
        <v>604</v>
      </c>
      <c r="AQ62" s="124" t="s">
        <v>854</v>
      </c>
      <c r="AR62" s="14"/>
      <c r="AS62" s="112" t="s">
        <v>349</v>
      </c>
      <c r="AZ62" s="117"/>
      <c r="BA62" s="117"/>
    </row>
    <row r="63" spans="35:53" ht="39.9" customHeight="1" x14ac:dyDescent="0.3">
      <c r="AI63" s="121" t="str">
        <f t="shared" si="10"/>
        <v>SKCZ-FOD</v>
      </c>
      <c r="AJ63" s="112" t="s">
        <v>349</v>
      </c>
      <c r="AK63" s="112" t="s">
        <v>410</v>
      </c>
      <c r="AL63" s="122" t="s">
        <v>460</v>
      </c>
      <c r="AM63" s="112" t="str">
        <f t="shared" si="2"/>
        <v>Improbable Leve</v>
      </c>
      <c r="AN63" s="112" t="s">
        <v>503</v>
      </c>
      <c r="AO63" s="123" t="s">
        <v>524</v>
      </c>
      <c r="AP63" s="124" t="s">
        <v>701</v>
      </c>
      <c r="AQ63" s="124" t="s">
        <v>855</v>
      </c>
      <c r="AR63" s="14"/>
      <c r="AS63" s="112" t="s">
        <v>349</v>
      </c>
      <c r="AZ63" s="117"/>
      <c r="BA63" s="117"/>
    </row>
    <row r="64" spans="35:53" ht="39.9" customHeight="1" x14ac:dyDescent="0.3">
      <c r="AI64" s="121" t="str">
        <f t="shared" si="10"/>
        <v>SKCZ-RIP</v>
      </c>
      <c r="AJ64" s="112" t="s">
        <v>349</v>
      </c>
      <c r="AK64" s="112" t="s">
        <v>412</v>
      </c>
      <c r="AL64" s="122" t="s">
        <v>459</v>
      </c>
      <c r="AM64" s="112" t="str">
        <f t="shared" si="2"/>
        <v>Improbable Importante</v>
      </c>
      <c r="AN64" s="112" t="s">
        <v>505</v>
      </c>
      <c r="AO64" s="123" t="s">
        <v>605</v>
      </c>
      <c r="AP64" s="124" t="s">
        <v>701</v>
      </c>
      <c r="AQ64" s="124" t="s">
        <v>860</v>
      </c>
      <c r="AR64" s="14"/>
      <c r="AS64" s="112" t="s">
        <v>349</v>
      </c>
      <c r="AZ64" s="117"/>
      <c r="BA64" s="117"/>
    </row>
    <row r="65" spans="35:53" ht="39.9" customHeight="1" x14ac:dyDescent="0.3">
      <c r="AI65" s="121" t="str">
        <f t="shared" si="10"/>
        <v>SKCZ-ALAR</v>
      </c>
      <c r="AJ65" s="112" t="s">
        <v>349</v>
      </c>
      <c r="AK65" s="112" t="s">
        <v>411</v>
      </c>
      <c r="AL65" s="122" t="s">
        <v>458</v>
      </c>
      <c r="AM65" s="112" t="str">
        <f t="shared" si="2"/>
        <v>Improbable Peligroso</v>
      </c>
      <c r="AN65" s="112" t="s">
        <v>506</v>
      </c>
      <c r="AO65" s="123" t="s">
        <v>577</v>
      </c>
      <c r="AP65" s="124" t="s">
        <v>606</v>
      </c>
      <c r="AQ65" s="124" t="s">
        <v>861</v>
      </c>
      <c r="AR65" s="14"/>
      <c r="AS65" s="112" t="s">
        <v>349</v>
      </c>
      <c r="AZ65" s="117"/>
      <c r="BA65" s="117"/>
    </row>
    <row r="66" spans="35:53" ht="39.9" customHeight="1" x14ac:dyDescent="0.3">
      <c r="AI66" s="128" t="str">
        <f t="shared" si="10"/>
        <v>SKEB-MACA</v>
      </c>
      <c r="AJ66" s="129" t="s">
        <v>350</v>
      </c>
      <c r="AK66" s="129" t="s">
        <v>406</v>
      </c>
      <c r="AL66" s="130" t="s">
        <v>457</v>
      </c>
      <c r="AM66" s="129" t="str">
        <f t="shared" si="2"/>
        <v>Improbable Catastrófico</v>
      </c>
      <c r="AN66" s="129" t="s">
        <v>498</v>
      </c>
      <c r="AO66" s="131" t="s">
        <v>527</v>
      </c>
      <c r="AP66" s="132" t="s">
        <v>701</v>
      </c>
      <c r="AQ66" s="132" t="s">
        <v>851</v>
      </c>
      <c r="AR66" s="14" t="s">
        <v>11</v>
      </c>
      <c r="AS66" s="129" t="s">
        <v>350</v>
      </c>
      <c r="AZ66" s="117"/>
      <c r="BA66" s="117"/>
    </row>
    <row r="67" spans="35:53" ht="39.9" customHeight="1" x14ac:dyDescent="0.3">
      <c r="AI67" s="128" t="str">
        <f t="shared" si="10"/>
        <v>SKEB-BASH</v>
      </c>
      <c r="AJ67" s="129" t="s">
        <v>350</v>
      </c>
      <c r="AK67" s="129" t="s">
        <v>407</v>
      </c>
      <c r="AL67" s="130" t="s">
        <v>452</v>
      </c>
      <c r="AM67" s="129" t="str">
        <f t="shared" si="2"/>
        <v>Remoto Peligroso</v>
      </c>
      <c r="AN67" s="129" t="s">
        <v>499</v>
      </c>
      <c r="AO67" s="131" t="s">
        <v>607</v>
      </c>
      <c r="AP67" s="132" t="s">
        <v>608</v>
      </c>
      <c r="AQ67" s="132" t="s">
        <v>852</v>
      </c>
      <c r="AR67" s="14" t="s">
        <v>11</v>
      </c>
      <c r="AS67" s="129" t="s">
        <v>350</v>
      </c>
      <c r="AZ67" s="117"/>
      <c r="BA67" s="117"/>
    </row>
    <row r="68" spans="35:53" ht="39.9" customHeight="1" x14ac:dyDescent="0.3">
      <c r="AI68" s="128" t="str">
        <f t="shared" si="10"/>
        <v>SKEB-GAP</v>
      </c>
      <c r="AJ68" s="129" t="s">
        <v>350</v>
      </c>
      <c r="AK68" s="129" t="s">
        <v>408</v>
      </c>
      <c r="AL68" s="130" t="s">
        <v>454</v>
      </c>
      <c r="AM68" s="129" t="str">
        <f t="shared" ref="AM68:AM131" si="11">VLOOKUP(AL68,$I$3:$O$27,7,FALSE)</f>
        <v>Remoto Leve</v>
      </c>
      <c r="AN68" s="129" t="s">
        <v>500</v>
      </c>
      <c r="AO68" s="131" t="s">
        <v>532</v>
      </c>
      <c r="AP68" s="132" t="s">
        <v>701</v>
      </c>
      <c r="AQ68" s="132" t="s">
        <v>853</v>
      </c>
      <c r="AR68" s="14" t="s">
        <v>11</v>
      </c>
      <c r="AS68" s="129" t="s">
        <v>350</v>
      </c>
      <c r="AZ68" s="117"/>
      <c r="BA68" s="117"/>
    </row>
    <row r="69" spans="35:53" ht="39.9" customHeight="1" x14ac:dyDescent="0.3">
      <c r="AI69" s="128" t="str">
        <f t="shared" si="10"/>
        <v>SKEB-CFIT</v>
      </c>
      <c r="AJ69" s="129" t="s">
        <v>350</v>
      </c>
      <c r="AK69" s="129" t="s">
        <v>409</v>
      </c>
      <c r="AL69" s="130" t="s">
        <v>451</v>
      </c>
      <c r="AM69" s="129" t="str">
        <f t="shared" si="11"/>
        <v>Remoto Catastrófico</v>
      </c>
      <c r="AN69" s="129" t="s">
        <v>501</v>
      </c>
      <c r="AO69" s="131" t="s">
        <v>609</v>
      </c>
      <c r="AP69" s="132" t="s">
        <v>528</v>
      </c>
      <c r="AQ69" s="132" t="s">
        <v>854</v>
      </c>
      <c r="AR69" s="14" t="s">
        <v>11</v>
      </c>
      <c r="AS69" s="129" t="s">
        <v>350</v>
      </c>
      <c r="AZ69" s="117"/>
      <c r="BA69" s="117"/>
    </row>
    <row r="70" spans="35:53" ht="39.9" customHeight="1" x14ac:dyDescent="0.3">
      <c r="AI70" s="128" t="str">
        <f t="shared" si="10"/>
        <v>SKEB-FOD</v>
      </c>
      <c r="AJ70" s="129" t="s">
        <v>350</v>
      </c>
      <c r="AK70" s="129" t="s">
        <v>410</v>
      </c>
      <c r="AL70" s="130" t="s">
        <v>454</v>
      </c>
      <c r="AM70" s="129" t="str">
        <f t="shared" si="11"/>
        <v>Remoto Leve</v>
      </c>
      <c r="AN70" s="129" t="s">
        <v>503</v>
      </c>
      <c r="AO70" s="131" t="s">
        <v>610</v>
      </c>
      <c r="AP70" s="132" t="s">
        <v>611</v>
      </c>
      <c r="AQ70" s="132" t="s">
        <v>855</v>
      </c>
      <c r="AR70" s="14" t="s">
        <v>11</v>
      </c>
      <c r="AS70" s="129" t="s">
        <v>350</v>
      </c>
      <c r="AZ70" s="117"/>
      <c r="BA70" s="117"/>
    </row>
    <row r="71" spans="35:53" ht="39.9" customHeight="1" x14ac:dyDescent="0.3">
      <c r="AI71" s="128" t="str">
        <f t="shared" si="10"/>
        <v>SKEB-RIP</v>
      </c>
      <c r="AJ71" s="129" t="s">
        <v>350</v>
      </c>
      <c r="AK71" s="129" t="s">
        <v>412</v>
      </c>
      <c r="AL71" s="130" t="s">
        <v>453</v>
      </c>
      <c r="AM71" s="129" t="str">
        <f t="shared" si="11"/>
        <v>Remoto Importante</v>
      </c>
      <c r="AN71" s="129" t="s">
        <v>505</v>
      </c>
      <c r="AO71" s="131" t="s">
        <v>612</v>
      </c>
      <c r="AP71" s="132" t="s">
        <v>613</v>
      </c>
      <c r="AQ71" s="132" t="s">
        <v>856</v>
      </c>
      <c r="AR71" s="14" t="s">
        <v>11</v>
      </c>
      <c r="AS71" s="129" t="s">
        <v>350</v>
      </c>
      <c r="AZ71" s="117"/>
      <c r="BA71" s="117"/>
    </row>
    <row r="72" spans="35:53" ht="39.9" customHeight="1" x14ac:dyDescent="0.3">
      <c r="AI72" s="128" t="str">
        <f t="shared" si="10"/>
        <v>SKEB-ALAR</v>
      </c>
      <c r="AJ72" s="129" t="s">
        <v>350</v>
      </c>
      <c r="AK72" s="129" t="s">
        <v>411</v>
      </c>
      <c r="AL72" s="130" t="s">
        <v>451</v>
      </c>
      <c r="AM72" s="129" t="str">
        <f t="shared" si="11"/>
        <v>Remoto Catastrófico</v>
      </c>
      <c r="AN72" s="129" t="s">
        <v>506</v>
      </c>
      <c r="AO72" s="131" t="s">
        <v>570</v>
      </c>
      <c r="AP72" s="132" t="s">
        <v>590</v>
      </c>
      <c r="AQ72" s="132" t="s">
        <v>857</v>
      </c>
      <c r="AR72" s="14" t="s">
        <v>11</v>
      </c>
      <c r="AS72" s="129" t="s">
        <v>350</v>
      </c>
      <c r="AZ72" s="117"/>
      <c r="BA72" s="117"/>
    </row>
    <row r="73" spans="35:53" ht="39.9" customHeight="1" x14ac:dyDescent="0.3">
      <c r="AI73" s="121" t="str">
        <f t="shared" si="10"/>
        <v>SKEJ-MACA</v>
      </c>
      <c r="AJ73" s="112" t="s">
        <v>344</v>
      </c>
      <c r="AK73" s="112" t="s">
        <v>406</v>
      </c>
      <c r="AL73" s="122" t="s">
        <v>451</v>
      </c>
      <c r="AM73" s="112" t="str">
        <f t="shared" si="11"/>
        <v>Remoto Catastrófico</v>
      </c>
      <c r="AN73" s="112" t="s">
        <v>498</v>
      </c>
      <c r="AO73" s="123" t="s">
        <v>616</v>
      </c>
      <c r="AP73" s="124" t="s">
        <v>614</v>
      </c>
      <c r="AQ73" s="124" t="s">
        <v>851</v>
      </c>
      <c r="AR73" s="14"/>
      <c r="AS73" s="112" t="s">
        <v>344</v>
      </c>
      <c r="AZ73" s="117"/>
      <c r="BA73" s="117"/>
    </row>
    <row r="74" spans="35:53" ht="39.9" customHeight="1" x14ac:dyDescent="0.3">
      <c r="AI74" s="121" t="str">
        <f t="shared" si="10"/>
        <v>SKEJ-BASH</v>
      </c>
      <c r="AJ74" s="112" t="s">
        <v>344</v>
      </c>
      <c r="AK74" s="112" t="s">
        <v>407</v>
      </c>
      <c r="AL74" s="122" t="s">
        <v>444</v>
      </c>
      <c r="AM74" s="112" t="str">
        <f t="shared" si="11"/>
        <v>Ocasional Peligroso</v>
      </c>
      <c r="AN74" s="112" t="s">
        <v>499</v>
      </c>
      <c r="AO74" s="123" t="s">
        <v>533</v>
      </c>
      <c r="AP74" s="124" t="s">
        <v>701</v>
      </c>
      <c r="AQ74" s="124" t="s">
        <v>858</v>
      </c>
      <c r="AR74" s="14"/>
      <c r="AS74" s="112" t="s">
        <v>344</v>
      </c>
      <c r="AZ74" s="117"/>
      <c r="BA74" s="117"/>
    </row>
    <row r="75" spans="35:53" ht="39.9" customHeight="1" x14ac:dyDescent="0.3">
      <c r="AI75" s="121" t="str">
        <f t="shared" si="10"/>
        <v>SKEJ-GAP</v>
      </c>
      <c r="AJ75" s="112" t="s">
        <v>344</v>
      </c>
      <c r="AK75" s="112" t="s">
        <v>408</v>
      </c>
      <c r="AL75" s="122" t="s">
        <v>460</v>
      </c>
      <c r="AM75" s="112" t="str">
        <f t="shared" si="11"/>
        <v>Improbable Leve</v>
      </c>
      <c r="AN75" s="112" t="s">
        <v>500</v>
      </c>
      <c r="AO75" s="123" t="s">
        <v>574</v>
      </c>
      <c r="AP75" s="124" t="s">
        <v>575</v>
      </c>
      <c r="AQ75" s="124" t="s">
        <v>859</v>
      </c>
      <c r="AR75" s="14"/>
      <c r="AS75" s="112" t="s">
        <v>344</v>
      </c>
      <c r="AZ75" s="117"/>
      <c r="BA75" s="117"/>
    </row>
    <row r="76" spans="35:53" ht="39.9" customHeight="1" x14ac:dyDescent="0.3">
      <c r="AI76" s="121" t="str">
        <f t="shared" si="10"/>
        <v>SKEJ-CFIT</v>
      </c>
      <c r="AJ76" s="112" t="s">
        <v>344</v>
      </c>
      <c r="AK76" s="112" t="s">
        <v>409</v>
      </c>
      <c r="AL76" s="122" t="s">
        <v>457</v>
      </c>
      <c r="AM76" s="112" t="str">
        <f t="shared" si="11"/>
        <v>Improbable Catastrófico</v>
      </c>
      <c r="AN76" s="112" t="s">
        <v>501</v>
      </c>
      <c r="AO76" s="123" t="s">
        <v>534</v>
      </c>
      <c r="AP76" s="124" t="s">
        <v>701</v>
      </c>
      <c r="AQ76" s="124" t="s">
        <v>854</v>
      </c>
      <c r="AR76" s="14"/>
      <c r="AS76" s="112" t="s">
        <v>344</v>
      </c>
      <c r="AZ76" s="117"/>
      <c r="BA76" s="117"/>
    </row>
    <row r="77" spans="35:53" ht="39.9" customHeight="1" x14ac:dyDescent="0.3">
      <c r="AI77" s="121" t="str">
        <f t="shared" si="10"/>
        <v>SKEJ-FOD</v>
      </c>
      <c r="AJ77" s="112" t="s">
        <v>344</v>
      </c>
      <c r="AK77" s="112" t="s">
        <v>410</v>
      </c>
      <c r="AL77" s="122" t="s">
        <v>460</v>
      </c>
      <c r="AM77" s="112" t="str">
        <f t="shared" si="11"/>
        <v>Improbable Leve</v>
      </c>
      <c r="AN77" s="112" t="s">
        <v>503</v>
      </c>
      <c r="AO77" s="123" t="s">
        <v>524</v>
      </c>
      <c r="AP77" s="124" t="s">
        <v>701</v>
      </c>
      <c r="AQ77" s="124" t="s">
        <v>855</v>
      </c>
      <c r="AR77" s="14"/>
      <c r="AS77" s="112" t="s">
        <v>344</v>
      </c>
      <c r="AZ77" s="117"/>
      <c r="BA77" s="117"/>
    </row>
    <row r="78" spans="35:53" ht="39.9" customHeight="1" x14ac:dyDescent="0.3">
      <c r="AI78" s="121" t="str">
        <f t="shared" si="10"/>
        <v>SKEJ-RIP</v>
      </c>
      <c r="AJ78" s="112" t="s">
        <v>344</v>
      </c>
      <c r="AK78" s="112" t="s">
        <v>412</v>
      </c>
      <c r="AL78" s="122" t="s">
        <v>453</v>
      </c>
      <c r="AM78" s="112" t="str">
        <f t="shared" si="11"/>
        <v>Remoto Importante</v>
      </c>
      <c r="AN78" s="112" t="s">
        <v>505</v>
      </c>
      <c r="AO78" s="123" t="s">
        <v>605</v>
      </c>
      <c r="AP78" s="124" t="s">
        <v>617</v>
      </c>
      <c r="AQ78" s="124" t="s">
        <v>860</v>
      </c>
      <c r="AR78" s="14"/>
      <c r="AS78" s="112" t="s">
        <v>344</v>
      </c>
      <c r="AZ78" s="117"/>
      <c r="BA78" s="117"/>
    </row>
    <row r="79" spans="35:53" ht="39.9" customHeight="1" x14ac:dyDescent="0.3">
      <c r="AI79" s="121" t="str">
        <f t="shared" si="10"/>
        <v>SKEJ-ALAR</v>
      </c>
      <c r="AJ79" s="112" t="s">
        <v>344</v>
      </c>
      <c r="AK79" s="112" t="s">
        <v>411</v>
      </c>
      <c r="AL79" s="122" t="s">
        <v>458</v>
      </c>
      <c r="AM79" s="112" t="str">
        <f t="shared" si="11"/>
        <v>Improbable Peligroso</v>
      </c>
      <c r="AN79" s="112" t="s">
        <v>506</v>
      </c>
      <c r="AO79" s="123" t="s">
        <v>577</v>
      </c>
      <c r="AP79" s="124" t="s">
        <v>618</v>
      </c>
      <c r="AQ79" s="124" t="s">
        <v>861</v>
      </c>
      <c r="AR79" s="14"/>
      <c r="AS79" s="112" t="s">
        <v>344</v>
      </c>
      <c r="AZ79" s="117"/>
      <c r="BA79" s="117"/>
    </row>
    <row r="80" spans="35:53" ht="39.9" customHeight="1" x14ac:dyDescent="0.3">
      <c r="AI80" s="128" t="str">
        <f t="shared" si="10"/>
        <v>SKGI-MACA</v>
      </c>
      <c r="AJ80" s="129" t="s">
        <v>351</v>
      </c>
      <c r="AK80" s="129" t="s">
        <v>406</v>
      </c>
      <c r="AL80" s="130" t="s">
        <v>443</v>
      </c>
      <c r="AM80" s="129" t="str">
        <f t="shared" si="11"/>
        <v>Ocasional Catastrófico</v>
      </c>
      <c r="AN80" s="129" t="s">
        <v>498</v>
      </c>
      <c r="AO80" s="131" t="s">
        <v>619</v>
      </c>
      <c r="AP80" s="132" t="s">
        <v>620</v>
      </c>
      <c r="AQ80" s="132" t="s">
        <v>851</v>
      </c>
      <c r="AR80" s="14"/>
      <c r="AS80" s="129" t="s">
        <v>351</v>
      </c>
      <c r="AZ80" s="117"/>
      <c r="BA80" s="117"/>
    </row>
    <row r="81" spans="35:53" ht="39.9" customHeight="1" x14ac:dyDescent="0.3">
      <c r="AI81" s="128" t="str">
        <f t="shared" si="10"/>
        <v>SKGI-BASH</v>
      </c>
      <c r="AJ81" s="129" t="s">
        <v>351</v>
      </c>
      <c r="AK81" s="129" t="s">
        <v>407</v>
      </c>
      <c r="AL81" s="130" t="s">
        <v>444</v>
      </c>
      <c r="AM81" s="129" t="str">
        <f t="shared" si="11"/>
        <v>Ocasional Peligroso</v>
      </c>
      <c r="AN81" s="129" t="s">
        <v>499</v>
      </c>
      <c r="AO81" s="131" t="s">
        <v>523</v>
      </c>
      <c r="AP81" s="132" t="s">
        <v>701</v>
      </c>
      <c r="AQ81" s="132" t="s">
        <v>858</v>
      </c>
      <c r="AR81" s="14"/>
      <c r="AS81" s="129" t="s">
        <v>351</v>
      </c>
      <c r="AZ81" s="117"/>
      <c r="BA81" s="117"/>
    </row>
    <row r="82" spans="35:53" ht="39.9" customHeight="1" x14ac:dyDescent="0.3">
      <c r="AI82" s="128" t="str">
        <f t="shared" si="10"/>
        <v>SKGI-GAP</v>
      </c>
      <c r="AJ82" s="129" t="s">
        <v>351</v>
      </c>
      <c r="AK82" s="129" t="s">
        <v>408</v>
      </c>
      <c r="AL82" s="130" t="s">
        <v>454</v>
      </c>
      <c r="AM82" s="129" t="str">
        <f t="shared" si="11"/>
        <v>Remoto Leve</v>
      </c>
      <c r="AN82" s="129" t="s">
        <v>500</v>
      </c>
      <c r="AO82" s="131" t="s">
        <v>621</v>
      </c>
      <c r="AP82" s="132" t="s">
        <v>622</v>
      </c>
      <c r="AQ82" s="132" t="s">
        <v>859</v>
      </c>
      <c r="AR82" s="14"/>
      <c r="AS82" s="129" t="s">
        <v>351</v>
      </c>
      <c r="AZ82" s="117"/>
      <c r="BA82" s="117"/>
    </row>
    <row r="83" spans="35:53" ht="39.9" customHeight="1" x14ac:dyDescent="0.3">
      <c r="AI83" s="128" t="str">
        <f t="shared" si="10"/>
        <v>SKGI-CFIT</v>
      </c>
      <c r="AJ83" s="129" t="s">
        <v>351</v>
      </c>
      <c r="AK83" s="129" t="s">
        <v>409</v>
      </c>
      <c r="AL83" s="130" t="s">
        <v>457</v>
      </c>
      <c r="AM83" s="129" t="str">
        <f t="shared" si="11"/>
        <v>Improbable Catastrófico</v>
      </c>
      <c r="AN83" s="129" t="s">
        <v>501</v>
      </c>
      <c r="AO83" s="131" t="s">
        <v>502</v>
      </c>
      <c r="AP83" s="132" t="s">
        <v>701</v>
      </c>
      <c r="AQ83" s="132" t="s">
        <v>854</v>
      </c>
      <c r="AR83" s="14"/>
      <c r="AS83" s="129" t="s">
        <v>351</v>
      </c>
      <c r="AZ83" s="117"/>
      <c r="BA83" s="117"/>
    </row>
    <row r="84" spans="35:53" ht="39.9" customHeight="1" x14ac:dyDescent="0.3">
      <c r="AI84" s="128" t="str">
        <f t="shared" si="10"/>
        <v>SKGI-FOD</v>
      </c>
      <c r="AJ84" s="129" t="s">
        <v>351</v>
      </c>
      <c r="AK84" s="129" t="s">
        <v>410</v>
      </c>
      <c r="AL84" s="130" t="s">
        <v>446</v>
      </c>
      <c r="AM84" s="129" t="str">
        <f t="shared" si="11"/>
        <v>Ocasional Leve</v>
      </c>
      <c r="AN84" s="129" t="s">
        <v>503</v>
      </c>
      <c r="AO84" s="131" t="s">
        <v>623</v>
      </c>
      <c r="AP84" s="132" t="s">
        <v>624</v>
      </c>
      <c r="AQ84" s="132" t="s">
        <v>855</v>
      </c>
      <c r="AR84" s="14"/>
      <c r="AS84" s="129" t="s">
        <v>351</v>
      </c>
      <c r="AZ84" s="117"/>
      <c r="BA84" s="117"/>
    </row>
    <row r="85" spans="35:53" ht="39.9" customHeight="1" x14ac:dyDescent="0.3">
      <c r="AI85" s="128" t="str">
        <f t="shared" si="10"/>
        <v>SKGI-RIP</v>
      </c>
      <c r="AJ85" s="129" t="s">
        <v>351</v>
      </c>
      <c r="AK85" s="129" t="s">
        <v>412</v>
      </c>
      <c r="AL85" s="130" t="s">
        <v>453</v>
      </c>
      <c r="AM85" s="129" t="str">
        <f t="shared" si="11"/>
        <v>Remoto Importante</v>
      </c>
      <c r="AN85" s="129" t="s">
        <v>505</v>
      </c>
      <c r="AO85" s="131" t="s">
        <v>625</v>
      </c>
      <c r="AP85" s="132" t="s">
        <v>626</v>
      </c>
      <c r="AQ85" s="132" t="s">
        <v>860</v>
      </c>
      <c r="AR85" s="14"/>
      <c r="AS85" s="129" t="s">
        <v>351</v>
      </c>
      <c r="AZ85" s="117"/>
      <c r="BA85" s="117"/>
    </row>
    <row r="86" spans="35:53" ht="39.9" customHeight="1" x14ac:dyDescent="0.3">
      <c r="AI86" s="128" t="str">
        <f t="shared" si="10"/>
        <v>SKGI-ALAR</v>
      </c>
      <c r="AJ86" s="129" t="s">
        <v>351</v>
      </c>
      <c r="AK86" s="129" t="s">
        <v>411</v>
      </c>
      <c r="AL86" s="130" t="s">
        <v>458</v>
      </c>
      <c r="AM86" s="129" t="str">
        <f t="shared" si="11"/>
        <v>Improbable Peligroso</v>
      </c>
      <c r="AN86" s="129" t="s">
        <v>506</v>
      </c>
      <c r="AO86" s="131" t="s">
        <v>507</v>
      </c>
      <c r="AP86" s="132" t="s">
        <v>701</v>
      </c>
      <c r="AQ86" s="132" t="s">
        <v>861</v>
      </c>
      <c r="AR86" s="14"/>
      <c r="AS86" s="129" t="s">
        <v>351</v>
      </c>
      <c r="AZ86" s="117"/>
      <c r="BA86" s="117"/>
    </row>
    <row r="87" spans="35:53" ht="39.9" customHeight="1" x14ac:dyDescent="0.3">
      <c r="AI87" s="121" t="str">
        <f t="shared" si="10"/>
        <v>SKGO-MACA</v>
      </c>
      <c r="AJ87" s="112" t="s">
        <v>348</v>
      </c>
      <c r="AK87" s="112" t="s">
        <v>406</v>
      </c>
      <c r="AL87" s="122" t="s">
        <v>435</v>
      </c>
      <c r="AM87" s="112" t="str">
        <f t="shared" si="11"/>
        <v>Frecuente Catastrófico</v>
      </c>
      <c r="AN87" s="112" t="s">
        <v>498</v>
      </c>
      <c r="AO87" s="123" t="s">
        <v>520</v>
      </c>
      <c r="AP87" s="124" t="s">
        <v>508</v>
      </c>
      <c r="AQ87" s="124" t="s">
        <v>851</v>
      </c>
      <c r="AR87" s="14"/>
      <c r="AS87" s="112" t="s">
        <v>348</v>
      </c>
      <c r="AZ87" s="117"/>
      <c r="BA87" s="117"/>
    </row>
    <row r="88" spans="35:53" ht="39.9" customHeight="1" x14ac:dyDescent="0.3">
      <c r="AI88" s="121" t="str">
        <f t="shared" si="10"/>
        <v>SKGO-BASH</v>
      </c>
      <c r="AJ88" s="112" t="s">
        <v>348</v>
      </c>
      <c r="AK88" s="112" t="s">
        <v>407</v>
      </c>
      <c r="AL88" s="122" t="s">
        <v>444</v>
      </c>
      <c r="AM88" s="112" t="str">
        <f t="shared" si="11"/>
        <v>Ocasional Peligroso</v>
      </c>
      <c r="AN88" s="112" t="s">
        <v>499</v>
      </c>
      <c r="AO88" s="123" t="s">
        <v>519</v>
      </c>
      <c r="AP88" s="124" t="s">
        <v>701</v>
      </c>
      <c r="AQ88" s="124" t="s">
        <v>858</v>
      </c>
      <c r="AR88" s="14"/>
      <c r="AS88" s="112" t="s">
        <v>348</v>
      </c>
      <c r="AZ88" s="117"/>
      <c r="BA88" s="117"/>
    </row>
    <row r="89" spans="35:53" ht="39.9" customHeight="1" x14ac:dyDescent="0.3">
      <c r="AI89" s="121" t="str">
        <f t="shared" si="10"/>
        <v>SKGO-GAP</v>
      </c>
      <c r="AJ89" s="112" t="s">
        <v>348</v>
      </c>
      <c r="AK89" s="112" t="s">
        <v>408</v>
      </c>
      <c r="AL89" s="122" t="s">
        <v>460</v>
      </c>
      <c r="AM89" s="112" t="str">
        <f t="shared" si="11"/>
        <v>Improbable Leve</v>
      </c>
      <c r="AN89" s="112" t="s">
        <v>500</v>
      </c>
      <c r="AO89" s="123" t="s">
        <v>509</v>
      </c>
      <c r="AP89" s="124" t="s">
        <v>510</v>
      </c>
      <c r="AQ89" s="124" t="s">
        <v>859</v>
      </c>
      <c r="AR89" s="14"/>
      <c r="AS89" s="112" t="s">
        <v>348</v>
      </c>
      <c r="AZ89" s="117"/>
      <c r="BA89" s="117"/>
    </row>
    <row r="90" spans="35:53" ht="39.9" customHeight="1" x14ac:dyDescent="0.3">
      <c r="AI90" s="121" t="str">
        <f t="shared" si="10"/>
        <v>SKGO-CFIT</v>
      </c>
      <c r="AJ90" s="112" t="s">
        <v>348</v>
      </c>
      <c r="AK90" s="112" t="s">
        <v>409</v>
      </c>
      <c r="AL90" s="122" t="s">
        <v>457</v>
      </c>
      <c r="AM90" s="112" t="str">
        <f t="shared" si="11"/>
        <v>Improbable Catastrófico</v>
      </c>
      <c r="AN90" s="112" t="s">
        <v>501</v>
      </c>
      <c r="AO90" s="123" t="s">
        <v>502</v>
      </c>
      <c r="AP90" s="124" t="s">
        <v>701</v>
      </c>
      <c r="AQ90" s="124" t="s">
        <v>854</v>
      </c>
      <c r="AR90" s="14"/>
      <c r="AS90" s="112" t="s">
        <v>348</v>
      </c>
      <c r="AZ90" s="117"/>
      <c r="BA90" s="117"/>
    </row>
    <row r="91" spans="35:53" ht="39.9" customHeight="1" x14ac:dyDescent="0.3">
      <c r="AI91" s="121" t="str">
        <f t="shared" si="10"/>
        <v>SKGO-FOD</v>
      </c>
      <c r="AJ91" s="112" t="s">
        <v>348</v>
      </c>
      <c r="AK91" s="112" t="s">
        <v>410</v>
      </c>
      <c r="AL91" s="122" t="s">
        <v>460</v>
      </c>
      <c r="AM91" s="112" t="str">
        <f t="shared" si="11"/>
        <v>Improbable Leve</v>
      </c>
      <c r="AN91" s="112" t="s">
        <v>503</v>
      </c>
      <c r="AO91" s="123" t="s">
        <v>524</v>
      </c>
      <c r="AP91" s="124" t="s">
        <v>701</v>
      </c>
      <c r="AQ91" s="124" t="s">
        <v>855</v>
      </c>
      <c r="AR91" s="14"/>
      <c r="AS91" s="112" t="s">
        <v>348</v>
      </c>
      <c r="AZ91" s="117"/>
      <c r="BA91" s="117"/>
    </row>
    <row r="92" spans="35:53" ht="39.9" customHeight="1" x14ac:dyDescent="0.3">
      <c r="AI92" s="121" t="str">
        <f t="shared" si="10"/>
        <v>SKGO-RIP</v>
      </c>
      <c r="AJ92" s="112" t="s">
        <v>348</v>
      </c>
      <c r="AK92" s="112" t="s">
        <v>412</v>
      </c>
      <c r="AL92" s="122" t="s">
        <v>453</v>
      </c>
      <c r="AM92" s="112" t="str">
        <f t="shared" si="11"/>
        <v>Remoto Importante</v>
      </c>
      <c r="AN92" s="112" t="s">
        <v>505</v>
      </c>
      <c r="AO92" s="123" t="s">
        <v>511</v>
      </c>
      <c r="AP92" s="124" t="s">
        <v>626</v>
      </c>
      <c r="AQ92" s="124" t="s">
        <v>860</v>
      </c>
      <c r="AR92" s="14"/>
      <c r="AS92" s="112" t="s">
        <v>348</v>
      </c>
      <c r="AZ92" s="117"/>
      <c r="BA92" s="117"/>
    </row>
    <row r="93" spans="35:53" ht="39.9" customHeight="1" x14ac:dyDescent="0.3">
      <c r="AI93" s="121" t="str">
        <f t="shared" si="10"/>
        <v>SKGO-ALAR</v>
      </c>
      <c r="AJ93" s="112" t="s">
        <v>348</v>
      </c>
      <c r="AK93" s="112" t="s">
        <v>411</v>
      </c>
      <c r="AL93" s="122" t="s">
        <v>452</v>
      </c>
      <c r="AM93" s="112" t="str">
        <f t="shared" si="11"/>
        <v>Remoto Peligroso</v>
      </c>
      <c r="AN93" s="112" t="s">
        <v>506</v>
      </c>
      <c r="AO93" s="123" t="s">
        <v>507</v>
      </c>
      <c r="AP93" s="124" t="s">
        <v>701</v>
      </c>
      <c r="AQ93" s="124" t="s">
        <v>861</v>
      </c>
      <c r="AR93" s="14"/>
      <c r="AS93" s="112" t="s">
        <v>348</v>
      </c>
      <c r="AZ93" s="117"/>
      <c r="BA93" s="117"/>
    </row>
    <row r="94" spans="35:53" ht="39.9" customHeight="1" x14ac:dyDescent="0.3">
      <c r="AI94" s="128" t="str">
        <f t="shared" si="10"/>
        <v>SKGY-MACA</v>
      </c>
      <c r="AJ94" s="129" t="s">
        <v>363</v>
      </c>
      <c r="AK94" s="129" t="s">
        <v>406</v>
      </c>
      <c r="AL94" s="130" t="s">
        <v>435</v>
      </c>
      <c r="AM94" s="129" t="str">
        <f t="shared" si="11"/>
        <v>Frecuente Catastrófico</v>
      </c>
      <c r="AN94" s="129" t="s">
        <v>498</v>
      </c>
      <c r="AO94" s="131" t="s">
        <v>627</v>
      </c>
      <c r="AP94" s="132" t="s">
        <v>508</v>
      </c>
      <c r="AQ94" s="132" t="s">
        <v>851</v>
      </c>
      <c r="AR94" s="14"/>
      <c r="AS94" s="129" t="s">
        <v>363</v>
      </c>
      <c r="AZ94" s="117"/>
      <c r="BA94" s="117"/>
    </row>
    <row r="95" spans="35:53" ht="39.9" customHeight="1" x14ac:dyDescent="0.3">
      <c r="AI95" s="128" t="str">
        <f t="shared" si="10"/>
        <v>SKGY-BASH</v>
      </c>
      <c r="AJ95" s="129" t="s">
        <v>363</v>
      </c>
      <c r="AK95" s="129" t="s">
        <v>407</v>
      </c>
      <c r="AL95" s="130" t="s">
        <v>458</v>
      </c>
      <c r="AM95" s="129" t="str">
        <f t="shared" si="11"/>
        <v>Improbable Peligroso</v>
      </c>
      <c r="AN95" s="129" t="s">
        <v>499</v>
      </c>
      <c r="AO95" s="131" t="s">
        <v>535</v>
      </c>
      <c r="AP95" s="132" t="s">
        <v>701</v>
      </c>
      <c r="AQ95" s="132" t="s">
        <v>858</v>
      </c>
      <c r="AR95" s="14"/>
      <c r="AS95" s="129" t="s">
        <v>363</v>
      </c>
      <c r="AZ95" s="117"/>
      <c r="BA95" s="117"/>
    </row>
    <row r="96" spans="35:53" ht="39.9" customHeight="1" x14ac:dyDescent="0.3">
      <c r="AI96" s="128" t="str">
        <f t="shared" si="10"/>
        <v>SKGY-GAP</v>
      </c>
      <c r="AJ96" s="129" t="s">
        <v>363</v>
      </c>
      <c r="AK96" s="129" t="s">
        <v>408</v>
      </c>
      <c r="AL96" s="130" t="s">
        <v>460</v>
      </c>
      <c r="AM96" s="129" t="str">
        <f t="shared" si="11"/>
        <v>Improbable Leve</v>
      </c>
      <c r="AN96" s="129" t="s">
        <v>500</v>
      </c>
      <c r="AO96" s="131" t="s">
        <v>628</v>
      </c>
      <c r="AP96" s="132" t="s">
        <v>510</v>
      </c>
      <c r="AQ96" s="132" t="s">
        <v>859</v>
      </c>
      <c r="AR96" s="14"/>
      <c r="AS96" s="129" t="s">
        <v>363</v>
      </c>
      <c r="AZ96" s="117"/>
      <c r="BA96" s="117"/>
    </row>
    <row r="97" spans="35:53" ht="39.9" customHeight="1" x14ac:dyDescent="0.3">
      <c r="AI97" s="128" t="str">
        <f t="shared" si="10"/>
        <v>SKGY-CFIT</v>
      </c>
      <c r="AJ97" s="129" t="s">
        <v>363</v>
      </c>
      <c r="AK97" s="129" t="s">
        <v>409</v>
      </c>
      <c r="AL97" s="130" t="s">
        <v>451</v>
      </c>
      <c r="AM97" s="129" t="str">
        <f t="shared" si="11"/>
        <v>Remoto Catastrófico</v>
      </c>
      <c r="AN97" s="129" t="s">
        <v>501</v>
      </c>
      <c r="AO97" s="131" t="s">
        <v>536</v>
      </c>
      <c r="AP97" s="132" t="s">
        <v>701</v>
      </c>
      <c r="AQ97" s="132" t="s">
        <v>854</v>
      </c>
      <c r="AR97" s="14"/>
      <c r="AS97" s="129" t="s">
        <v>363</v>
      </c>
      <c r="AZ97" s="117"/>
      <c r="BA97" s="117"/>
    </row>
    <row r="98" spans="35:53" ht="39.9" customHeight="1" x14ac:dyDescent="0.3">
      <c r="AI98" s="128" t="str">
        <f t="shared" si="10"/>
        <v>SKGY-FOD</v>
      </c>
      <c r="AJ98" s="129" t="s">
        <v>363</v>
      </c>
      <c r="AK98" s="129" t="s">
        <v>410</v>
      </c>
      <c r="AL98" s="130" t="s">
        <v>460</v>
      </c>
      <c r="AM98" s="129" t="str">
        <f t="shared" si="11"/>
        <v>Improbable Leve</v>
      </c>
      <c r="AN98" s="129" t="s">
        <v>503</v>
      </c>
      <c r="AO98" s="131" t="s">
        <v>524</v>
      </c>
      <c r="AP98" s="132" t="s">
        <v>701</v>
      </c>
      <c r="AQ98" s="132" t="s">
        <v>855</v>
      </c>
      <c r="AR98" s="14"/>
      <c r="AS98" s="129" t="s">
        <v>363</v>
      </c>
      <c r="AZ98" s="117"/>
      <c r="BA98" s="117"/>
    </row>
    <row r="99" spans="35:53" ht="39.9" customHeight="1" x14ac:dyDescent="0.3">
      <c r="AI99" s="128" t="str">
        <f t="shared" si="10"/>
        <v>SKGY-RIP</v>
      </c>
      <c r="AJ99" s="129" t="s">
        <v>363</v>
      </c>
      <c r="AK99" s="129" t="s">
        <v>412</v>
      </c>
      <c r="AL99" s="130" t="s">
        <v>445</v>
      </c>
      <c r="AM99" s="129" t="str">
        <f t="shared" si="11"/>
        <v>Ocasional Importante</v>
      </c>
      <c r="AN99" s="129" t="s">
        <v>505</v>
      </c>
      <c r="AO99" s="131" t="s">
        <v>511</v>
      </c>
      <c r="AP99" s="132" t="s">
        <v>629</v>
      </c>
      <c r="AQ99" s="132" t="s">
        <v>860</v>
      </c>
      <c r="AR99" s="14"/>
      <c r="AS99" s="129" t="s">
        <v>363</v>
      </c>
      <c r="AZ99" s="117"/>
      <c r="BA99" s="117"/>
    </row>
    <row r="100" spans="35:53" ht="39.9" customHeight="1" x14ac:dyDescent="0.3">
      <c r="AI100" s="128" t="str">
        <f t="shared" si="10"/>
        <v>SKGY-ALAR</v>
      </c>
      <c r="AJ100" s="129" t="s">
        <v>363</v>
      </c>
      <c r="AK100" s="129" t="s">
        <v>411</v>
      </c>
      <c r="AL100" s="130" t="s">
        <v>452</v>
      </c>
      <c r="AM100" s="129" t="str">
        <f t="shared" si="11"/>
        <v>Remoto Peligroso</v>
      </c>
      <c r="AN100" s="129" t="s">
        <v>506</v>
      </c>
      <c r="AO100" s="131" t="s">
        <v>630</v>
      </c>
      <c r="AP100" s="132" t="s">
        <v>633</v>
      </c>
      <c r="AQ100" s="132" t="s">
        <v>861</v>
      </c>
      <c r="AR100" s="14"/>
      <c r="AS100" s="129" t="s">
        <v>363</v>
      </c>
      <c r="AZ100" s="117"/>
      <c r="BA100" s="117"/>
    </row>
    <row r="101" spans="35:53" ht="39.9" customHeight="1" x14ac:dyDescent="0.3">
      <c r="AI101" s="121" t="str">
        <f t="shared" si="10"/>
        <v>SKIB-MACA</v>
      </c>
      <c r="AJ101" s="112" t="s">
        <v>352</v>
      </c>
      <c r="AK101" s="112" t="s">
        <v>406</v>
      </c>
      <c r="AL101" s="122" t="s">
        <v>451</v>
      </c>
      <c r="AM101" s="112" t="str">
        <f t="shared" si="11"/>
        <v>Remoto Catastrófico</v>
      </c>
      <c r="AN101" s="112" t="s">
        <v>498</v>
      </c>
      <c r="AO101" s="123" t="s">
        <v>631</v>
      </c>
      <c r="AP101" s="124" t="s">
        <v>632</v>
      </c>
      <c r="AQ101" s="124" t="s">
        <v>851</v>
      </c>
      <c r="AR101" s="14"/>
      <c r="AS101" s="112" t="s">
        <v>352</v>
      </c>
      <c r="AZ101" s="117"/>
      <c r="BA101" s="117"/>
    </row>
    <row r="102" spans="35:53" ht="39.9" customHeight="1" x14ac:dyDescent="0.3">
      <c r="AI102" s="121" t="str">
        <f t="shared" si="10"/>
        <v>SKIB-BASH</v>
      </c>
      <c r="AJ102" s="112" t="s">
        <v>352</v>
      </c>
      <c r="AK102" s="112" t="s">
        <v>407</v>
      </c>
      <c r="AL102" s="122" t="s">
        <v>452</v>
      </c>
      <c r="AM102" s="112" t="str">
        <f t="shared" si="11"/>
        <v>Remoto Peligroso</v>
      </c>
      <c r="AN102" s="112" t="s">
        <v>499</v>
      </c>
      <c r="AO102" s="123" t="s">
        <v>537</v>
      </c>
      <c r="AP102" s="124" t="s">
        <v>701</v>
      </c>
      <c r="AQ102" s="124" t="s">
        <v>858</v>
      </c>
      <c r="AR102" s="14"/>
      <c r="AS102" s="112" t="s">
        <v>352</v>
      </c>
      <c r="AZ102" s="117"/>
      <c r="BA102" s="117"/>
    </row>
    <row r="103" spans="35:53" ht="39.9" customHeight="1" x14ac:dyDescent="0.3">
      <c r="AI103" s="121" t="str">
        <f t="shared" si="10"/>
        <v>SKIB-GAP</v>
      </c>
      <c r="AJ103" s="112" t="s">
        <v>352</v>
      </c>
      <c r="AK103" s="112" t="s">
        <v>408</v>
      </c>
      <c r="AL103" s="122" t="s">
        <v>460</v>
      </c>
      <c r="AM103" s="112" t="str">
        <f t="shared" si="11"/>
        <v>Improbable Leve</v>
      </c>
      <c r="AN103" s="112" t="s">
        <v>500</v>
      </c>
      <c r="AO103" s="123" t="s">
        <v>509</v>
      </c>
      <c r="AP103" s="124" t="s">
        <v>510</v>
      </c>
      <c r="AQ103" s="124" t="s">
        <v>859</v>
      </c>
      <c r="AR103" s="14"/>
      <c r="AS103" s="112" t="s">
        <v>352</v>
      </c>
      <c r="AZ103" s="117"/>
      <c r="BA103" s="117"/>
    </row>
    <row r="104" spans="35:53" ht="39.9" customHeight="1" x14ac:dyDescent="0.3">
      <c r="AI104" s="121" t="str">
        <f t="shared" si="10"/>
        <v>SKIB-CFIT</v>
      </c>
      <c r="AJ104" s="112" t="s">
        <v>352</v>
      </c>
      <c r="AK104" s="112" t="s">
        <v>409</v>
      </c>
      <c r="AL104" s="122" t="s">
        <v>457</v>
      </c>
      <c r="AM104" s="112" t="str">
        <f t="shared" si="11"/>
        <v>Improbable Catastrófico</v>
      </c>
      <c r="AN104" s="112" t="s">
        <v>501</v>
      </c>
      <c r="AO104" s="123" t="s">
        <v>538</v>
      </c>
      <c r="AP104" s="124" t="s">
        <v>701</v>
      </c>
      <c r="AQ104" s="124" t="s">
        <v>854</v>
      </c>
      <c r="AR104" s="14"/>
      <c r="AS104" s="112" t="s">
        <v>352</v>
      </c>
      <c r="AZ104" s="117"/>
      <c r="BA104" s="117"/>
    </row>
    <row r="105" spans="35:53" ht="39.9" customHeight="1" x14ac:dyDescent="0.3">
      <c r="AI105" s="121" t="str">
        <f t="shared" si="10"/>
        <v>SKIB-FOD</v>
      </c>
      <c r="AJ105" s="112" t="s">
        <v>352</v>
      </c>
      <c r="AK105" s="112" t="s">
        <v>410</v>
      </c>
      <c r="AL105" s="122" t="s">
        <v>460</v>
      </c>
      <c r="AM105" s="112" t="str">
        <f t="shared" si="11"/>
        <v>Improbable Leve</v>
      </c>
      <c r="AN105" s="112" t="s">
        <v>503</v>
      </c>
      <c r="AO105" s="123" t="s">
        <v>524</v>
      </c>
      <c r="AP105" s="124" t="s">
        <v>701</v>
      </c>
      <c r="AQ105" s="124" t="s">
        <v>855</v>
      </c>
      <c r="AR105" s="14"/>
      <c r="AS105" s="112" t="s">
        <v>352</v>
      </c>
      <c r="AZ105" s="117"/>
      <c r="BA105" s="117"/>
    </row>
    <row r="106" spans="35:53" ht="39.9" customHeight="1" x14ac:dyDescent="0.3">
      <c r="AI106" s="121" t="str">
        <f t="shared" si="10"/>
        <v>SKIB-RIP</v>
      </c>
      <c r="AJ106" s="112" t="s">
        <v>352</v>
      </c>
      <c r="AK106" s="112" t="s">
        <v>412</v>
      </c>
      <c r="AL106" s="122" t="s">
        <v>459</v>
      </c>
      <c r="AM106" s="112" t="str">
        <f t="shared" si="11"/>
        <v>Improbable Importante</v>
      </c>
      <c r="AN106" s="112" t="s">
        <v>505</v>
      </c>
      <c r="AO106" s="123" t="s">
        <v>631</v>
      </c>
      <c r="AP106" s="124" t="s">
        <v>632</v>
      </c>
      <c r="AQ106" s="124" t="s">
        <v>860</v>
      </c>
      <c r="AR106" s="14"/>
      <c r="AS106" s="112" t="s">
        <v>352</v>
      </c>
      <c r="AZ106" s="117"/>
      <c r="BA106" s="117"/>
    </row>
    <row r="107" spans="35:53" ht="39.9" customHeight="1" x14ac:dyDescent="0.3">
      <c r="AI107" s="121" t="str">
        <f t="shared" si="10"/>
        <v>SKIB-ALAR</v>
      </c>
      <c r="AJ107" s="112" t="s">
        <v>352</v>
      </c>
      <c r="AK107" s="112" t="s">
        <v>411</v>
      </c>
      <c r="AL107" s="122" t="s">
        <v>452</v>
      </c>
      <c r="AM107" s="112" t="str">
        <f t="shared" si="11"/>
        <v>Remoto Peligroso</v>
      </c>
      <c r="AN107" s="112" t="s">
        <v>506</v>
      </c>
      <c r="AO107" s="123" t="s">
        <v>700</v>
      </c>
      <c r="AP107" s="124" t="s">
        <v>701</v>
      </c>
      <c r="AQ107" s="124" t="s">
        <v>861</v>
      </c>
      <c r="AR107" s="14"/>
      <c r="AS107" s="112" t="s">
        <v>352</v>
      </c>
      <c r="AZ107" s="117"/>
      <c r="BA107" s="117"/>
    </row>
    <row r="108" spans="35:53" ht="39.9" customHeight="1" x14ac:dyDescent="0.3">
      <c r="AI108" s="128" t="str">
        <f t="shared" si="10"/>
        <v>SKLB-MACA</v>
      </c>
      <c r="AJ108" s="129" t="s">
        <v>474</v>
      </c>
      <c r="AK108" s="129" t="s">
        <v>406</v>
      </c>
      <c r="AL108" s="130" t="s">
        <v>451</v>
      </c>
      <c r="AM108" s="129" t="str">
        <f t="shared" si="11"/>
        <v>Remoto Catastrófico</v>
      </c>
      <c r="AN108" s="129" t="s">
        <v>498</v>
      </c>
      <c r="AO108" s="131" t="s">
        <v>527</v>
      </c>
      <c r="AP108" s="132" t="s">
        <v>701</v>
      </c>
      <c r="AQ108" s="132" t="s">
        <v>851</v>
      </c>
      <c r="AR108" s="14" t="s">
        <v>11</v>
      </c>
      <c r="AS108" s="129" t="s">
        <v>474</v>
      </c>
      <c r="AZ108" s="117"/>
      <c r="BA108" s="117"/>
    </row>
    <row r="109" spans="35:53" ht="39.9" customHeight="1" x14ac:dyDescent="0.3">
      <c r="AI109" s="128" t="str">
        <f t="shared" si="10"/>
        <v>SKLB-BASH</v>
      </c>
      <c r="AJ109" s="129" t="s">
        <v>474</v>
      </c>
      <c r="AK109" s="129" t="s">
        <v>407</v>
      </c>
      <c r="AL109" s="130" t="s">
        <v>452</v>
      </c>
      <c r="AM109" s="129" t="str">
        <f t="shared" si="11"/>
        <v>Remoto Peligroso</v>
      </c>
      <c r="AN109" s="129" t="s">
        <v>499</v>
      </c>
      <c r="AO109" s="131" t="s">
        <v>551</v>
      </c>
      <c r="AP109" s="132" t="s">
        <v>550</v>
      </c>
      <c r="AQ109" s="132" t="s">
        <v>852</v>
      </c>
      <c r="AR109" s="14" t="s">
        <v>11</v>
      </c>
      <c r="AS109" s="129" t="s">
        <v>474</v>
      </c>
      <c r="AZ109" s="117"/>
      <c r="BA109" s="117"/>
    </row>
    <row r="110" spans="35:53" ht="39.9" customHeight="1" x14ac:dyDescent="0.3">
      <c r="AI110" s="128" t="str">
        <f t="shared" si="10"/>
        <v>SKLB-GAP</v>
      </c>
      <c r="AJ110" s="129" t="s">
        <v>474</v>
      </c>
      <c r="AK110" s="129" t="s">
        <v>408</v>
      </c>
      <c r="AL110" s="130" t="s">
        <v>460</v>
      </c>
      <c r="AM110" s="129" t="str">
        <f t="shared" si="11"/>
        <v>Improbable Leve</v>
      </c>
      <c r="AN110" s="129" t="s">
        <v>500</v>
      </c>
      <c r="AO110" s="131" t="s">
        <v>521</v>
      </c>
      <c r="AP110" s="132" t="s">
        <v>701</v>
      </c>
      <c r="AQ110" s="132" t="s">
        <v>853</v>
      </c>
      <c r="AR110" s="14" t="s">
        <v>11</v>
      </c>
      <c r="AS110" s="129" t="s">
        <v>474</v>
      </c>
      <c r="AZ110" s="117"/>
      <c r="BA110" s="117"/>
    </row>
    <row r="111" spans="35:53" ht="39.9" customHeight="1" x14ac:dyDescent="0.3">
      <c r="AI111" s="128" t="str">
        <f t="shared" si="10"/>
        <v>SKLB-CFIT</v>
      </c>
      <c r="AJ111" s="129" t="s">
        <v>474</v>
      </c>
      <c r="AK111" s="129" t="s">
        <v>409</v>
      </c>
      <c r="AL111" s="130" t="s">
        <v>457</v>
      </c>
      <c r="AM111" s="129" t="str">
        <f t="shared" si="11"/>
        <v>Improbable Catastrófico</v>
      </c>
      <c r="AN111" s="129" t="s">
        <v>501</v>
      </c>
      <c r="AO111" s="131" t="s">
        <v>528</v>
      </c>
      <c r="AP111" s="132" t="s">
        <v>701</v>
      </c>
      <c r="AQ111" s="132" t="s">
        <v>854</v>
      </c>
      <c r="AR111" s="14" t="s">
        <v>11</v>
      </c>
      <c r="AS111" s="129" t="s">
        <v>474</v>
      </c>
      <c r="AZ111" s="117"/>
      <c r="BA111" s="117"/>
    </row>
    <row r="112" spans="35:53" ht="39.9" customHeight="1" x14ac:dyDescent="0.3">
      <c r="AI112" s="128" t="str">
        <f t="shared" si="10"/>
        <v>SKLB-FOD</v>
      </c>
      <c r="AJ112" s="129" t="s">
        <v>474</v>
      </c>
      <c r="AK112" s="129" t="s">
        <v>410</v>
      </c>
      <c r="AL112" s="130" t="s">
        <v>454</v>
      </c>
      <c r="AM112" s="129" t="str">
        <f t="shared" si="11"/>
        <v>Remoto Leve</v>
      </c>
      <c r="AN112" s="129" t="s">
        <v>503</v>
      </c>
      <c r="AO112" s="131" t="s">
        <v>522</v>
      </c>
      <c r="AP112" s="132" t="s">
        <v>701</v>
      </c>
      <c r="AQ112" s="132" t="s">
        <v>855</v>
      </c>
      <c r="AR112" s="14" t="s">
        <v>11</v>
      </c>
      <c r="AS112" s="129" t="s">
        <v>474</v>
      </c>
      <c r="AZ112" s="117"/>
      <c r="BA112" s="117"/>
    </row>
    <row r="113" spans="35:53" ht="39.9" customHeight="1" x14ac:dyDescent="0.3">
      <c r="AI113" s="128" t="str">
        <f t="shared" si="10"/>
        <v>SKLB-RIP</v>
      </c>
      <c r="AJ113" s="129" t="s">
        <v>474</v>
      </c>
      <c r="AK113" s="129" t="s">
        <v>412</v>
      </c>
      <c r="AL113" s="130" t="s">
        <v>445</v>
      </c>
      <c r="AM113" s="129" t="str">
        <f t="shared" si="11"/>
        <v>Ocasional Importante</v>
      </c>
      <c r="AN113" s="129" t="s">
        <v>505</v>
      </c>
      <c r="AO113" s="131" t="s">
        <v>555</v>
      </c>
      <c r="AP113" s="132" t="s">
        <v>589</v>
      </c>
      <c r="AQ113" s="132" t="s">
        <v>856</v>
      </c>
      <c r="AR113" s="14" t="s">
        <v>11</v>
      </c>
      <c r="AS113" s="129" t="s">
        <v>474</v>
      </c>
      <c r="AZ113" s="117"/>
      <c r="BA113" s="117"/>
    </row>
    <row r="114" spans="35:53" ht="39.9" customHeight="1" x14ac:dyDescent="0.3">
      <c r="AI114" s="128" t="str">
        <f t="shared" si="10"/>
        <v>SKLB-ALAR</v>
      </c>
      <c r="AJ114" s="129" t="s">
        <v>474</v>
      </c>
      <c r="AK114" s="129" t="s">
        <v>411</v>
      </c>
      <c r="AL114" s="130" t="s">
        <v>451</v>
      </c>
      <c r="AM114" s="129" t="str">
        <f t="shared" si="11"/>
        <v>Remoto Catastrófico</v>
      </c>
      <c r="AN114" s="129" t="s">
        <v>506</v>
      </c>
      <c r="AO114" s="131" t="s">
        <v>570</v>
      </c>
      <c r="AP114" s="132" t="s">
        <v>590</v>
      </c>
      <c r="AQ114" s="132" t="s">
        <v>857</v>
      </c>
      <c r="AR114" s="14" t="s">
        <v>11</v>
      </c>
      <c r="AS114" s="129" t="s">
        <v>474</v>
      </c>
      <c r="AZ114" s="117"/>
      <c r="BA114" s="117"/>
    </row>
    <row r="115" spans="35:53" ht="39.9" customHeight="1" x14ac:dyDescent="0.3">
      <c r="AI115" s="121" t="str">
        <f t="shared" si="10"/>
        <v>SKLC-MACA</v>
      </c>
      <c r="AJ115" s="112" t="s">
        <v>389</v>
      </c>
      <c r="AK115" s="112" t="s">
        <v>406</v>
      </c>
      <c r="AL115" s="122" t="s">
        <v>457</v>
      </c>
      <c r="AM115" s="112" t="str">
        <f t="shared" si="11"/>
        <v>Improbable Catastrófico</v>
      </c>
      <c r="AN115" s="112" t="s">
        <v>498</v>
      </c>
      <c r="AO115" s="123" t="s">
        <v>635</v>
      </c>
      <c r="AP115" s="124" t="s">
        <v>573</v>
      </c>
      <c r="AQ115" s="124" t="s">
        <v>851</v>
      </c>
      <c r="AR115" s="14"/>
      <c r="AS115" s="112" t="s">
        <v>389</v>
      </c>
      <c r="AZ115" s="117"/>
      <c r="BA115" s="117"/>
    </row>
    <row r="116" spans="35:53" ht="39.9" customHeight="1" x14ac:dyDescent="0.3">
      <c r="AI116" s="121" t="str">
        <f t="shared" si="10"/>
        <v>SKLC-BASH</v>
      </c>
      <c r="AJ116" s="112" t="s">
        <v>389</v>
      </c>
      <c r="AK116" s="112" t="s">
        <v>407</v>
      </c>
      <c r="AL116" s="122" t="s">
        <v>452</v>
      </c>
      <c r="AM116" s="112" t="str">
        <f t="shared" si="11"/>
        <v>Remoto Peligroso</v>
      </c>
      <c r="AN116" s="112" t="s">
        <v>499</v>
      </c>
      <c r="AO116" s="123" t="s">
        <v>531</v>
      </c>
      <c r="AP116" s="124" t="s">
        <v>583</v>
      </c>
      <c r="AQ116" s="124" t="s">
        <v>858</v>
      </c>
      <c r="AR116" s="14"/>
      <c r="AS116" s="112" t="s">
        <v>389</v>
      </c>
      <c r="AZ116" s="117"/>
      <c r="BA116" s="117"/>
    </row>
    <row r="117" spans="35:53" ht="39.9" customHeight="1" x14ac:dyDescent="0.3">
      <c r="AI117" s="121" t="str">
        <f t="shared" si="10"/>
        <v>SKLC-GAP</v>
      </c>
      <c r="AJ117" s="112" t="s">
        <v>389</v>
      </c>
      <c r="AK117" s="112" t="s">
        <v>408</v>
      </c>
      <c r="AL117" s="122" t="s">
        <v>460</v>
      </c>
      <c r="AM117" s="112" t="str">
        <f t="shared" si="11"/>
        <v>Improbable Leve</v>
      </c>
      <c r="AN117" s="112" t="s">
        <v>500</v>
      </c>
      <c r="AO117" s="123" t="s">
        <v>636</v>
      </c>
      <c r="AP117" s="124" t="s">
        <v>637</v>
      </c>
      <c r="AQ117" s="124" t="s">
        <v>859</v>
      </c>
      <c r="AR117" s="14"/>
      <c r="AS117" s="112" t="s">
        <v>389</v>
      </c>
      <c r="AZ117" s="117"/>
      <c r="BA117" s="117"/>
    </row>
    <row r="118" spans="35:53" ht="39.9" customHeight="1" x14ac:dyDescent="0.3">
      <c r="AI118" s="121" t="str">
        <f t="shared" si="10"/>
        <v>SKLC-CFIT</v>
      </c>
      <c r="AJ118" s="112" t="s">
        <v>389</v>
      </c>
      <c r="AK118" s="112" t="s">
        <v>409</v>
      </c>
      <c r="AL118" s="122" t="s">
        <v>457</v>
      </c>
      <c r="AM118" s="112" t="str">
        <f t="shared" si="11"/>
        <v>Improbable Catastrófico</v>
      </c>
      <c r="AN118" s="112" t="s">
        <v>501</v>
      </c>
      <c r="AO118" s="123" t="s">
        <v>539</v>
      </c>
      <c r="AP118" s="124" t="s">
        <v>701</v>
      </c>
      <c r="AQ118" s="124" t="s">
        <v>854</v>
      </c>
      <c r="AR118" s="14"/>
      <c r="AS118" s="112" t="s">
        <v>389</v>
      </c>
      <c r="AZ118" s="117"/>
      <c r="BA118" s="117"/>
    </row>
    <row r="119" spans="35:53" ht="39.9" customHeight="1" x14ac:dyDescent="0.3">
      <c r="AI119" s="121" t="str">
        <f t="shared" si="10"/>
        <v>SKLC-FOD</v>
      </c>
      <c r="AJ119" s="112" t="s">
        <v>389</v>
      </c>
      <c r="AK119" s="112" t="s">
        <v>410</v>
      </c>
      <c r="AL119" s="122" t="s">
        <v>460</v>
      </c>
      <c r="AM119" s="112" t="str">
        <f t="shared" si="11"/>
        <v>Improbable Leve</v>
      </c>
      <c r="AN119" s="112" t="s">
        <v>503</v>
      </c>
      <c r="AO119" s="123" t="s">
        <v>524</v>
      </c>
      <c r="AP119" s="124" t="s">
        <v>701</v>
      </c>
      <c r="AQ119" s="124" t="s">
        <v>855</v>
      </c>
      <c r="AR119" s="14"/>
      <c r="AS119" s="112" t="s">
        <v>389</v>
      </c>
      <c r="AZ119" s="117"/>
      <c r="BA119" s="117"/>
    </row>
    <row r="120" spans="35:53" ht="39.9" customHeight="1" x14ac:dyDescent="0.3">
      <c r="AI120" s="121" t="str">
        <f t="shared" si="10"/>
        <v>SKLC-RIP</v>
      </c>
      <c r="AJ120" s="112" t="s">
        <v>389</v>
      </c>
      <c r="AK120" s="112" t="s">
        <v>412</v>
      </c>
      <c r="AL120" s="122" t="s">
        <v>445</v>
      </c>
      <c r="AM120" s="112" t="str">
        <f t="shared" si="11"/>
        <v>Ocasional Importante</v>
      </c>
      <c r="AN120" s="112" t="s">
        <v>505</v>
      </c>
      <c r="AO120" s="123" t="s">
        <v>634</v>
      </c>
      <c r="AP120" s="124" t="s">
        <v>556</v>
      </c>
      <c r="AQ120" s="124" t="s">
        <v>860</v>
      </c>
      <c r="AR120" s="14"/>
      <c r="AS120" s="112" t="s">
        <v>389</v>
      </c>
      <c r="AZ120" s="117"/>
      <c r="BA120" s="117"/>
    </row>
    <row r="121" spans="35:53" ht="39.9" customHeight="1" x14ac:dyDescent="0.3">
      <c r="AI121" s="121" t="str">
        <f t="shared" si="10"/>
        <v>SKLC-ALAR</v>
      </c>
      <c r="AJ121" s="112" t="s">
        <v>389</v>
      </c>
      <c r="AK121" s="112" t="s">
        <v>411</v>
      </c>
      <c r="AL121" s="122" t="s">
        <v>458</v>
      </c>
      <c r="AM121" s="112" t="str">
        <f t="shared" si="11"/>
        <v>Improbable Peligroso</v>
      </c>
      <c r="AN121" s="112" t="s">
        <v>506</v>
      </c>
      <c r="AO121" s="123" t="s">
        <v>634</v>
      </c>
      <c r="AP121" s="124" t="s">
        <v>638</v>
      </c>
      <c r="AQ121" s="124" t="s">
        <v>861</v>
      </c>
      <c r="AR121" s="14"/>
      <c r="AS121" s="112" t="s">
        <v>389</v>
      </c>
      <c r="AZ121" s="117"/>
      <c r="BA121" s="117"/>
    </row>
    <row r="122" spans="35:53" ht="39.9" customHeight="1" x14ac:dyDescent="0.3">
      <c r="AI122" s="128" t="str">
        <f t="shared" si="10"/>
        <v>SKMD-MACA</v>
      </c>
      <c r="AJ122" s="129" t="s">
        <v>355</v>
      </c>
      <c r="AK122" s="129" t="s">
        <v>406</v>
      </c>
      <c r="AL122" s="130" t="s">
        <v>451</v>
      </c>
      <c r="AM122" s="129" t="str">
        <f t="shared" si="11"/>
        <v>Remoto Catastrófico</v>
      </c>
      <c r="AN122" s="129" t="s">
        <v>498</v>
      </c>
      <c r="AO122" s="131" t="s">
        <v>640</v>
      </c>
      <c r="AP122" s="132" t="s">
        <v>639</v>
      </c>
      <c r="AQ122" s="132" t="s">
        <v>851</v>
      </c>
      <c r="AR122" s="14"/>
      <c r="AS122" s="129" t="s">
        <v>355</v>
      </c>
      <c r="AZ122" s="117"/>
      <c r="BA122" s="117"/>
    </row>
    <row r="123" spans="35:53" ht="39.9" customHeight="1" x14ac:dyDescent="0.3">
      <c r="AI123" s="128" t="str">
        <f t="shared" si="10"/>
        <v>SKMD-BASH</v>
      </c>
      <c r="AJ123" s="129" t="s">
        <v>355</v>
      </c>
      <c r="AK123" s="129" t="s">
        <v>407</v>
      </c>
      <c r="AL123" s="130" t="s">
        <v>444</v>
      </c>
      <c r="AM123" s="129" t="str">
        <f t="shared" si="11"/>
        <v>Ocasional Peligroso</v>
      </c>
      <c r="AN123" s="129" t="s">
        <v>499</v>
      </c>
      <c r="AO123" s="131" t="s">
        <v>523</v>
      </c>
      <c r="AP123" s="132" t="s">
        <v>701</v>
      </c>
      <c r="AQ123" s="132" t="s">
        <v>858</v>
      </c>
      <c r="AR123" s="14"/>
      <c r="AS123" s="129" t="s">
        <v>355</v>
      </c>
      <c r="AZ123" s="117"/>
      <c r="BA123" s="117"/>
    </row>
    <row r="124" spans="35:53" ht="39.9" customHeight="1" x14ac:dyDescent="0.3">
      <c r="AI124" s="128" t="str">
        <f t="shared" si="10"/>
        <v>SKMD-GAP</v>
      </c>
      <c r="AJ124" s="129" t="s">
        <v>355</v>
      </c>
      <c r="AK124" s="129" t="s">
        <v>408</v>
      </c>
      <c r="AL124" s="130" t="s">
        <v>446</v>
      </c>
      <c r="AM124" s="129" t="str">
        <f t="shared" si="11"/>
        <v>Ocasional Leve</v>
      </c>
      <c r="AN124" s="129" t="s">
        <v>500</v>
      </c>
      <c r="AO124" s="131" t="s">
        <v>540</v>
      </c>
      <c r="AP124" s="132" t="s">
        <v>701</v>
      </c>
      <c r="AQ124" s="132" t="s">
        <v>859</v>
      </c>
      <c r="AR124" s="14"/>
      <c r="AS124" s="129" t="s">
        <v>355</v>
      </c>
      <c r="AZ124" s="117"/>
      <c r="BA124" s="117"/>
    </row>
    <row r="125" spans="35:53" ht="39.9" customHeight="1" x14ac:dyDescent="0.3">
      <c r="AI125" s="128" t="str">
        <f t="shared" ref="AI125:AI188" si="12">CONCATENATE(AJ125,"-",AK125)</f>
        <v>SKMD-CFIT</v>
      </c>
      <c r="AJ125" s="129" t="s">
        <v>355</v>
      </c>
      <c r="AK125" s="129" t="s">
        <v>409</v>
      </c>
      <c r="AL125" s="130" t="s">
        <v>451</v>
      </c>
      <c r="AM125" s="129" t="str">
        <f t="shared" si="11"/>
        <v>Remoto Catastrófico</v>
      </c>
      <c r="AN125" s="129" t="s">
        <v>501</v>
      </c>
      <c r="AO125" s="131" t="s">
        <v>647</v>
      </c>
      <c r="AP125" s="132" t="s">
        <v>648</v>
      </c>
      <c r="AQ125" s="132" t="s">
        <v>854</v>
      </c>
      <c r="AR125" s="14"/>
      <c r="AS125" s="129" t="s">
        <v>355</v>
      </c>
      <c r="AZ125" s="117"/>
      <c r="BA125" s="117"/>
    </row>
    <row r="126" spans="35:53" ht="39.9" customHeight="1" x14ac:dyDescent="0.3">
      <c r="AI126" s="128" t="str">
        <f t="shared" si="12"/>
        <v>SKMD-FOD</v>
      </c>
      <c r="AJ126" s="129" t="s">
        <v>355</v>
      </c>
      <c r="AK126" s="129" t="s">
        <v>410</v>
      </c>
      <c r="AL126" s="130" t="s">
        <v>454</v>
      </c>
      <c r="AM126" s="129" t="str">
        <f t="shared" si="11"/>
        <v>Remoto Leve</v>
      </c>
      <c r="AN126" s="129" t="s">
        <v>503</v>
      </c>
      <c r="AO126" s="131" t="s">
        <v>541</v>
      </c>
      <c r="AP126" s="132" t="s">
        <v>701</v>
      </c>
      <c r="AQ126" s="132" t="s">
        <v>855</v>
      </c>
      <c r="AR126" s="14"/>
      <c r="AS126" s="129" t="s">
        <v>355</v>
      </c>
      <c r="AZ126" s="117"/>
      <c r="BA126" s="117"/>
    </row>
    <row r="127" spans="35:53" ht="39.9" customHeight="1" x14ac:dyDescent="0.3">
      <c r="AI127" s="128" t="str">
        <f t="shared" si="12"/>
        <v>SKMD-RIP</v>
      </c>
      <c r="AJ127" s="129" t="s">
        <v>355</v>
      </c>
      <c r="AK127" s="129" t="s">
        <v>412</v>
      </c>
      <c r="AL127" s="130" t="s">
        <v>459</v>
      </c>
      <c r="AM127" s="129" t="str">
        <f t="shared" si="11"/>
        <v>Improbable Importante</v>
      </c>
      <c r="AN127" s="129" t="s">
        <v>505</v>
      </c>
      <c r="AO127" s="131" t="s">
        <v>641</v>
      </c>
      <c r="AP127" s="132" t="s">
        <v>642</v>
      </c>
      <c r="AQ127" s="132" t="s">
        <v>860</v>
      </c>
      <c r="AR127" s="14"/>
      <c r="AS127" s="129" t="s">
        <v>355</v>
      </c>
      <c r="AZ127" s="117"/>
      <c r="BA127" s="117"/>
    </row>
    <row r="128" spans="35:53" ht="39.9" customHeight="1" x14ac:dyDescent="0.3">
      <c r="AI128" s="128" t="str">
        <f t="shared" si="12"/>
        <v>SKMD-ALAR</v>
      </c>
      <c r="AJ128" s="129" t="s">
        <v>355</v>
      </c>
      <c r="AK128" s="129" t="s">
        <v>411</v>
      </c>
      <c r="AL128" s="130" t="s">
        <v>444</v>
      </c>
      <c r="AM128" s="129" t="str">
        <f t="shared" si="11"/>
        <v>Ocasional Peligroso</v>
      </c>
      <c r="AN128" s="129" t="s">
        <v>506</v>
      </c>
      <c r="AO128" s="131" t="s">
        <v>643</v>
      </c>
      <c r="AP128" s="132" t="s">
        <v>644</v>
      </c>
      <c r="AQ128" s="132" t="s">
        <v>861</v>
      </c>
      <c r="AR128" s="14"/>
      <c r="AS128" s="129" t="s">
        <v>355</v>
      </c>
      <c r="AZ128" s="117"/>
      <c r="BA128" s="117"/>
    </row>
    <row r="129" spans="35:53" ht="39.9" customHeight="1" x14ac:dyDescent="0.3">
      <c r="AI129" s="121" t="str">
        <f t="shared" si="12"/>
        <v>SKMG-MACA</v>
      </c>
      <c r="AJ129" s="112" t="s">
        <v>384</v>
      </c>
      <c r="AK129" s="112" t="s">
        <v>406</v>
      </c>
      <c r="AL129" s="122" t="s">
        <v>457</v>
      </c>
      <c r="AM129" s="112" t="str">
        <f t="shared" si="11"/>
        <v>Improbable Catastrófico</v>
      </c>
      <c r="AN129" s="112" t="s">
        <v>498</v>
      </c>
      <c r="AO129" s="123" t="s">
        <v>527</v>
      </c>
      <c r="AP129" s="124" t="s">
        <v>701</v>
      </c>
      <c r="AQ129" s="124" t="s">
        <v>851</v>
      </c>
      <c r="AR129" s="14" t="s">
        <v>11</v>
      </c>
      <c r="AS129" s="112" t="s">
        <v>384</v>
      </c>
      <c r="AZ129" s="117"/>
      <c r="BA129" s="117"/>
    </row>
    <row r="130" spans="35:53" ht="39.9" customHeight="1" x14ac:dyDescent="0.3">
      <c r="AI130" s="121" t="str">
        <f t="shared" si="12"/>
        <v>SKMG-BASH</v>
      </c>
      <c r="AJ130" s="112" t="s">
        <v>384</v>
      </c>
      <c r="AK130" s="112" t="s">
        <v>407</v>
      </c>
      <c r="AL130" s="122" t="s">
        <v>452</v>
      </c>
      <c r="AM130" s="112" t="str">
        <f t="shared" si="11"/>
        <v>Remoto Peligroso</v>
      </c>
      <c r="AN130" s="112" t="s">
        <v>499</v>
      </c>
      <c r="AO130" s="123" t="s">
        <v>646</v>
      </c>
      <c r="AP130" s="124" t="s">
        <v>550</v>
      </c>
      <c r="AQ130" s="124" t="s">
        <v>852</v>
      </c>
      <c r="AR130" s="14" t="s">
        <v>11</v>
      </c>
      <c r="AS130" s="112" t="s">
        <v>384</v>
      </c>
      <c r="AZ130" s="117"/>
      <c r="BA130" s="117"/>
    </row>
    <row r="131" spans="35:53" ht="39.9" customHeight="1" x14ac:dyDescent="0.3">
      <c r="AI131" s="121" t="str">
        <f t="shared" si="12"/>
        <v>SKMG-GAP</v>
      </c>
      <c r="AJ131" s="112" t="s">
        <v>384</v>
      </c>
      <c r="AK131" s="112" t="s">
        <v>408</v>
      </c>
      <c r="AL131" s="122" t="s">
        <v>460</v>
      </c>
      <c r="AM131" s="112" t="str">
        <f t="shared" si="11"/>
        <v>Improbable Leve</v>
      </c>
      <c r="AN131" s="112" t="s">
        <v>500</v>
      </c>
      <c r="AO131" s="123" t="s">
        <v>521</v>
      </c>
      <c r="AP131" s="124" t="s">
        <v>701</v>
      </c>
      <c r="AQ131" s="124" t="s">
        <v>853</v>
      </c>
      <c r="AR131" s="14" t="s">
        <v>11</v>
      </c>
      <c r="AS131" s="112" t="s">
        <v>384</v>
      </c>
      <c r="AZ131" s="117"/>
      <c r="BA131" s="117"/>
    </row>
    <row r="132" spans="35:53" ht="39.9" customHeight="1" x14ac:dyDescent="0.3">
      <c r="AI132" s="121" t="str">
        <f t="shared" si="12"/>
        <v>SKMG-CFIT</v>
      </c>
      <c r="AJ132" s="112" t="s">
        <v>384</v>
      </c>
      <c r="AK132" s="112" t="s">
        <v>409</v>
      </c>
      <c r="AL132" s="122" t="s">
        <v>457</v>
      </c>
      <c r="AM132" s="112" t="str">
        <f t="shared" ref="AM132:AM195" si="13">VLOOKUP(AL132,$I$3:$O$27,7,FALSE)</f>
        <v>Improbable Catastrófico</v>
      </c>
      <c r="AN132" s="112" t="s">
        <v>501</v>
      </c>
      <c r="AO132" s="123" t="s">
        <v>528</v>
      </c>
      <c r="AP132" s="124" t="s">
        <v>701</v>
      </c>
      <c r="AQ132" s="124" t="s">
        <v>854</v>
      </c>
      <c r="AR132" s="14" t="s">
        <v>11</v>
      </c>
      <c r="AS132" s="112" t="s">
        <v>384</v>
      </c>
      <c r="AZ132" s="117"/>
      <c r="BA132" s="117"/>
    </row>
    <row r="133" spans="35:53" ht="39.9" customHeight="1" x14ac:dyDescent="0.3">
      <c r="AI133" s="121" t="str">
        <f t="shared" si="12"/>
        <v>SKMG-FOD</v>
      </c>
      <c r="AJ133" s="112" t="s">
        <v>384</v>
      </c>
      <c r="AK133" s="112" t="s">
        <v>410</v>
      </c>
      <c r="AL133" s="122" t="s">
        <v>454</v>
      </c>
      <c r="AM133" s="112" t="str">
        <f t="shared" si="13"/>
        <v>Remoto Leve</v>
      </c>
      <c r="AN133" s="112" t="s">
        <v>503</v>
      </c>
      <c r="AO133" s="123" t="s">
        <v>522</v>
      </c>
      <c r="AP133" s="124" t="s">
        <v>701</v>
      </c>
      <c r="AQ133" s="124" t="s">
        <v>855</v>
      </c>
      <c r="AR133" s="14" t="s">
        <v>11</v>
      </c>
      <c r="AS133" s="112" t="s">
        <v>384</v>
      </c>
      <c r="AZ133" s="117"/>
      <c r="BA133" s="117"/>
    </row>
    <row r="134" spans="35:53" ht="39.9" customHeight="1" x14ac:dyDescent="0.3">
      <c r="AI134" s="121" t="str">
        <f t="shared" si="12"/>
        <v>SKMG-RIP</v>
      </c>
      <c r="AJ134" s="112" t="s">
        <v>384</v>
      </c>
      <c r="AK134" s="112" t="s">
        <v>412</v>
      </c>
      <c r="AL134" s="122" t="s">
        <v>445</v>
      </c>
      <c r="AM134" s="112" t="str">
        <f t="shared" si="13"/>
        <v>Ocasional Importante</v>
      </c>
      <c r="AN134" s="112" t="s">
        <v>505</v>
      </c>
      <c r="AO134" s="123" t="s">
        <v>555</v>
      </c>
      <c r="AP134" s="124" t="s">
        <v>556</v>
      </c>
      <c r="AQ134" s="124" t="s">
        <v>856</v>
      </c>
      <c r="AR134" s="14" t="s">
        <v>11</v>
      </c>
      <c r="AS134" s="112" t="s">
        <v>384</v>
      </c>
      <c r="AZ134" s="117"/>
      <c r="BA134" s="117"/>
    </row>
    <row r="135" spans="35:53" ht="39.9" customHeight="1" x14ac:dyDescent="0.3">
      <c r="AI135" s="121" t="str">
        <f t="shared" si="12"/>
        <v>SKMG-ALAR</v>
      </c>
      <c r="AJ135" s="112" t="s">
        <v>384</v>
      </c>
      <c r="AK135" s="112" t="s">
        <v>411</v>
      </c>
      <c r="AL135" s="122" t="s">
        <v>451</v>
      </c>
      <c r="AM135" s="112" t="str">
        <f t="shared" si="13"/>
        <v>Remoto Catastrófico</v>
      </c>
      <c r="AN135" s="112" t="s">
        <v>506</v>
      </c>
      <c r="AO135" s="123" t="s">
        <v>570</v>
      </c>
      <c r="AP135" s="124" t="s">
        <v>590</v>
      </c>
      <c r="AQ135" s="124" t="s">
        <v>857</v>
      </c>
      <c r="AR135" s="14" t="s">
        <v>11</v>
      </c>
      <c r="AS135" s="112" t="s">
        <v>472</v>
      </c>
      <c r="AZ135" s="117"/>
      <c r="BA135" s="117"/>
    </row>
    <row r="136" spans="35:53" ht="39.9" customHeight="1" x14ac:dyDescent="0.3">
      <c r="AI136" s="128" t="str">
        <f t="shared" si="12"/>
        <v>SKML-MACA</v>
      </c>
      <c r="AJ136" s="129" t="s">
        <v>472</v>
      </c>
      <c r="AK136" s="129" t="s">
        <v>406</v>
      </c>
      <c r="AL136" s="130" t="s">
        <v>457</v>
      </c>
      <c r="AM136" s="129" t="str">
        <f t="shared" si="13"/>
        <v>Improbable Catastrófico</v>
      </c>
      <c r="AN136" s="129" t="s">
        <v>498</v>
      </c>
      <c r="AO136" s="131" t="s">
        <v>527</v>
      </c>
      <c r="AP136" s="132" t="s">
        <v>701</v>
      </c>
      <c r="AQ136" s="132" t="s">
        <v>851</v>
      </c>
      <c r="AR136" s="14" t="s">
        <v>11</v>
      </c>
      <c r="AS136" s="129" t="s">
        <v>472</v>
      </c>
      <c r="AZ136" s="117"/>
      <c r="BA136" s="117"/>
    </row>
    <row r="137" spans="35:53" ht="39.9" customHeight="1" x14ac:dyDescent="0.3">
      <c r="AI137" s="128" t="str">
        <f t="shared" si="12"/>
        <v>SKML-BASH</v>
      </c>
      <c r="AJ137" s="129" t="s">
        <v>472</v>
      </c>
      <c r="AK137" s="129" t="s">
        <v>407</v>
      </c>
      <c r="AL137" s="130" t="s">
        <v>452</v>
      </c>
      <c r="AM137" s="129" t="str">
        <f t="shared" si="13"/>
        <v>Remoto Peligroso</v>
      </c>
      <c r="AN137" s="129" t="s">
        <v>499</v>
      </c>
      <c r="AO137" s="131" t="s">
        <v>646</v>
      </c>
      <c r="AP137" s="132" t="s">
        <v>550</v>
      </c>
      <c r="AQ137" s="132" t="s">
        <v>858</v>
      </c>
      <c r="AR137" s="14" t="s">
        <v>11</v>
      </c>
      <c r="AS137" s="129" t="s">
        <v>472</v>
      </c>
      <c r="AZ137" s="117"/>
      <c r="BA137" s="117"/>
    </row>
    <row r="138" spans="35:53" ht="39.9" customHeight="1" x14ac:dyDescent="0.3">
      <c r="AI138" s="128" t="str">
        <f t="shared" si="12"/>
        <v>SKML-GAP</v>
      </c>
      <c r="AJ138" s="129" t="s">
        <v>472</v>
      </c>
      <c r="AK138" s="129" t="s">
        <v>408</v>
      </c>
      <c r="AL138" s="130" t="s">
        <v>460</v>
      </c>
      <c r="AM138" s="129" t="str">
        <f t="shared" si="13"/>
        <v>Improbable Leve</v>
      </c>
      <c r="AN138" s="129" t="s">
        <v>500</v>
      </c>
      <c r="AO138" s="131" t="s">
        <v>521</v>
      </c>
      <c r="AP138" s="132" t="s">
        <v>701</v>
      </c>
      <c r="AQ138" s="132" t="s">
        <v>853</v>
      </c>
      <c r="AR138" s="14" t="s">
        <v>11</v>
      </c>
      <c r="AS138" s="129" t="s">
        <v>472</v>
      </c>
      <c r="AZ138" s="117"/>
      <c r="BA138" s="117"/>
    </row>
    <row r="139" spans="35:53" ht="39.9" customHeight="1" x14ac:dyDescent="0.3">
      <c r="AI139" s="128" t="str">
        <f t="shared" si="12"/>
        <v>SKML-CFIT</v>
      </c>
      <c r="AJ139" s="129" t="s">
        <v>472</v>
      </c>
      <c r="AK139" s="129" t="s">
        <v>409</v>
      </c>
      <c r="AL139" s="130" t="s">
        <v>457</v>
      </c>
      <c r="AM139" s="129" t="str">
        <f t="shared" si="13"/>
        <v>Improbable Catastrófico</v>
      </c>
      <c r="AN139" s="129" t="s">
        <v>501</v>
      </c>
      <c r="AO139" s="131" t="s">
        <v>528</v>
      </c>
      <c r="AP139" s="132" t="s">
        <v>701</v>
      </c>
      <c r="AQ139" s="132" t="s">
        <v>854</v>
      </c>
      <c r="AR139" s="14" t="s">
        <v>11</v>
      </c>
      <c r="AS139" s="129" t="s">
        <v>472</v>
      </c>
      <c r="AZ139" s="117"/>
      <c r="BA139" s="117"/>
    </row>
    <row r="140" spans="35:53" ht="39.9" customHeight="1" x14ac:dyDescent="0.3">
      <c r="AI140" s="128" t="str">
        <f t="shared" si="12"/>
        <v>SKML-FOD</v>
      </c>
      <c r="AJ140" s="129" t="s">
        <v>472</v>
      </c>
      <c r="AK140" s="129" t="s">
        <v>410</v>
      </c>
      <c r="AL140" s="130" t="s">
        <v>454</v>
      </c>
      <c r="AM140" s="129" t="str">
        <f t="shared" si="13"/>
        <v>Remoto Leve</v>
      </c>
      <c r="AN140" s="129" t="s">
        <v>503</v>
      </c>
      <c r="AO140" s="131" t="s">
        <v>522</v>
      </c>
      <c r="AP140" s="132" t="s">
        <v>701</v>
      </c>
      <c r="AQ140" s="132" t="s">
        <v>855</v>
      </c>
      <c r="AR140" s="14" t="s">
        <v>11</v>
      </c>
      <c r="AS140" s="129" t="s">
        <v>472</v>
      </c>
      <c r="AZ140" s="117"/>
      <c r="BA140" s="117"/>
    </row>
    <row r="141" spans="35:53" ht="39.9" customHeight="1" x14ac:dyDescent="0.3">
      <c r="AI141" s="128" t="str">
        <f t="shared" si="12"/>
        <v>SKML-RIP</v>
      </c>
      <c r="AJ141" s="129" t="s">
        <v>472</v>
      </c>
      <c r="AK141" s="129" t="s">
        <v>412</v>
      </c>
      <c r="AL141" s="130" t="s">
        <v>445</v>
      </c>
      <c r="AM141" s="129" t="str">
        <f t="shared" si="13"/>
        <v>Ocasional Importante</v>
      </c>
      <c r="AN141" s="129" t="s">
        <v>505</v>
      </c>
      <c r="AO141" s="131" t="s">
        <v>555</v>
      </c>
      <c r="AP141" s="132" t="s">
        <v>556</v>
      </c>
      <c r="AQ141" s="132" t="s">
        <v>856</v>
      </c>
      <c r="AR141" s="14" t="s">
        <v>11</v>
      </c>
      <c r="AS141" s="129" t="s">
        <v>472</v>
      </c>
      <c r="AZ141" s="117"/>
      <c r="BA141" s="117"/>
    </row>
    <row r="142" spans="35:53" ht="39.9" customHeight="1" x14ac:dyDescent="0.3">
      <c r="AI142" s="128" t="str">
        <f t="shared" si="12"/>
        <v>SKML-ALAR</v>
      </c>
      <c r="AJ142" s="129" t="s">
        <v>472</v>
      </c>
      <c r="AK142" s="129" t="s">
        <v>411</v>
      </c>
      <c r="AL142" s="130" t="s">
        <v>451</v>
      </c>
      <c r="AM142" s="129" t="str">
        <f t="shared" si="13"/>
        <v>Remoto Catastrófico</v>
      </c>
      <c r="AN142" s="129" t="s">
        <v>506</v>
      </c>
      <c r="AO142" s="131" t="s">
        <v>570</v>
      </c>
      <c r="AP142" s="132" t="s">
        <v>590</v>
      </c>
      <c r="AQ142" s="132" t="s">
        <v>857</v>
      </c>
      <c r="AR142" s="14" t="s">
        <v>11</v>
      </c>
      <c r="AS142" s="129" t="s">
        <v>472</v>
      </c>
      <c r="AZ142" s="117"/>
      <c r="BA142" s="117"/>
    </row>
    <row r="143" spans="35:53" ht="39.9" customHeight="1" x14ac:dyDescent="0.3">
      <c r="AI143" s="121" t="str">
        <f t="shared" si="12"/>
        <v>SKMP-MACA</v>
      </c>
      <c r="AJ143" s="112" t="s">
        <v>383</v>
      </c>
      <c r="AK143" s="112" t="s">
        <v>406</v>
      </c>
      <c r="AL143" s="122" t="s">
        <v>457</v>
      </c>
      <c r="AM143" s="112" t="str">
        <f t="shared" si="13"/>
        <v>Improbable Catastrófico</v>
      </c>
      <c r="AN143" s="112" t="s">
        <v>498</v>
      </c>
      <c r="AO143" s="123" t="s">
        <v>527</v>
      </c>
      <c r="AP143" s="124" t="s">
        <v>701</v>
      </c>
      <c r="AQ143" s="124" t="s">
        <v>851</v>
      </c>
      <c r="AR143" s="14" t="s">
        <v>11</v>
      </c>
      <c r="AS143" s="112" t="s">
        <v>383</v>
      </c>
      <c r="AZ143" s="117"/>
      <c r="BA143" s="117"/>
    </row>
    <row r="144" spans="35:53" ht="39.9" customHeight="1" x14ac:dyDescent="0.3">
      <c r="AI144" s="121" t="str">
        <f t="shared" si="12"/>
        <v>SKMP-BASH</v>
      </c>
      <c r="AJ144" s="112" t="s">
        <v>383</v>
      </c>
      <c r="AK144" s="112" t="s">
        <v>407</v>
      </c>
      <c r="AL144" s="122" t="s">
        <v>452</v>
      </c>
      <c r="AM144" s="112" t="str">
        <f t="shared" si="13"/>
        <v>Remoto Peligroso</v>
      </c>
      <c r="AN144" s="112" t="s">
        <v>499</v>
      </c>
      <c r="AO144" s="123" t="s">
        <v>646</v>
      </c>
      <c r="AP144" s="124" t="s">
        <v>550</v>
      </c>
      <c r="AQ144" s="124" t="s">
        <v>852</v>
      </c>
      <c r="AR144" s="14" t="s">
        <v>11</v>
      </c>
      <c r="AS144" s="112" t="s">
        <v>383</v>
      </c>
      <c r="AZ144" s="117"/>
      <c r="BA144" s="117"/>
    </row>
    <row r="145" spans="35:53" ht="39.9" customHeight="1" x14ac:dyDescent="0.3">
      <c r="AI145" s="121" t="str">
        <f t="shared" si="12"/>
        <v>SKMP-GAP</v>
      </c>
      <c r="AJ145" s="112" t="s">
        <v>383</v>
      </c>
      <c r="AK145" s="112" t="s">
        <v>408</v>
      </c>
      <c r="AL145" s="122" t="s">
        <v>460</v>
      </c>
      <c r="AM145" s="112" t="str">
        <f t="shared" si="13"/>
        <v>Improbable Leve</v>
      </c>
      <c r="AN145" s="112" t="s">
        <v>500</v>
      </c>
      <c r="AO145" s="123" t="s">
        <v>521</v>
      </c>
      <c r="AP145" s="124" t="s">
        <v>701</v>
      </c>
      <c r="AQ145" s="124" t="s">
        <v>853</v>
      </c>
      <c r="AR145" s="14" t="s">
        <v>11</v>
      </c>
      <c r="AS145" s="112" t="s">
        <v>383</v>
      </c>
      <c r="AZ145" s="117"/>
      <c r="BA145" s="117"/>
    </row>
    <row r="146" spans="35:53" ht="39.9" customHeight="1" x14ac:dyDescent="0.3">
      <c r="AI146" s="121" t="str">
        <f t="shared" si="12"/>
        <v>SKMP-CFIT</v>
      </c>
      <c r="AJ146" s="112" t="s">
        <v>383</v>
      </c>
      <c r="AK146" s="112" t="s">
        <v>409</v>
      </c>
      <c r="AL146" s="122" t="s">
        <v>457</v>
      </c>
      <c r="AM146" s="112" t="str">
        <f t="shared" si="13"/>
        <v>Improbable Catastrófico</v>
      </c>
      <c r="AN146" s="112" t="s">
        <v>501</v>
      </c>
      <c r="AO146" s="123" t="s">
        <v>528</v>
      </c>
      <c r="AP146" s="124" t="s">
        <v>701</v>
      </c>
      <c r="AQ146" s="124" t="s">
        <v>854</v>
      </c>
      <c r="AR146" s="14" t="s">
        <v>11</v>
      </c>
      <c r="AS146" s="112" t="s">
        <v>383</v>
      </c>
      <c r="AZ146" s="117"/>
      <c r="BA146" s="117"/>
    </row>
    <row r="147" spans="35:53" ht="39.9" customHeight="1" x14ac:dyDescent="0.3">
      <c r="AI147" s="121" t="str">
        <f t="shared" si="12"/>
        <v>SKMP-FOD</v>
      </c>
      <c r="AJ147" s="112" t="s">
        <v>383</v>
      </c>
      <c r="AK147" s="112" t="s">
        <v>410</v>
      </c>
      <c r="AL147" s="122" t="s">
        <v>454</v>
      </c>
      <c r="AM147" s="112" t="str">
        <f t="shared" si="13"/>
        <v>Remoto Leve</v>
      </c>
      <c r="AN147" s="112" t="s">
        <v>503</v>
      </c>
      <c r="AO147" s="123" t="s">
        <v>522</v>
      </c>
      <c r="AP147" s="124" t="s">
        <v>701</v>
      </c>
      <c r="AQ147" s="124" t="s">
        <v>855</v>
      </c>
      <c r="AR147" s="14" t="s">
        <v>11</v>
      </c>
      <c r="AS147" s="112" t="s">
        <v>383</v>
      </c>
      <c r="AZ147" s="117"/>
      <c r="BA147" s="117"/>
    </row>
    <row r="148" spans="35:53" ht="39.9" customHeight="1" x14ac:dyDescent="0.3">
      <c r="AI148" s="121" t="str">
        <f t="shared" si="12"/>
        <v>SKMP-RIP</v>
      </c>
      <c r="AJ148" s="112" t="s">
        <v>383</v>
      </c>
      <c r="AK148" s="112" t="s">
        <v>412</v>
      </c>
      <c r="AL148" s="122" t="s">
        <v>445</v>
      </c>
      <c r="AM148" s="112" t="str">
        <f t="shared" si="13"/>
        <v>Ocasional Importante</v>
      </c>
      <c r="AN148" s="112" t="s">
        <v>505</v>
      </c>
      <c r="AO148" s="123" t="s">
        <v>555</v>
      </c>
      <c r="AP148" s="124" t="s">
        <v>556</v>
      </c>
      <c r="AQ148" s="124" t="s">
        <v>856</v>
      </c>
      <c r="AR148" s="14" t="s">
        <v>11</v>
      </c>
      <c r="AS148" s="112" t="s">
        <v>383</v>
      </c>
      <c r="AZ148" s="117"/>
      <c r="BA148" s="117"/>
    </row>
    <row r="149" spans="35:53" ht="39.9" customHeight="1" x14ac:dyDescent="0.3">
      <c r="AI149" s="121" t="str">
        <f t="shared" si="12"/>
        <v>SKMP-ALAR</v>
      </c>
      <c r="AJ149" s="112" t="s">
        <v>383</v>
      </c>
      <c r="AK149" s="112" t="s">
        <v>411</v>
      </c>
      <c r="AL149" s="122" t="s">
        <v>457</v>
      </c>
      <c r="AM149" s="112" t="str">
        <f t="shared" si="13"/>
        <v>Improbable Catastrófico</v>
      </c>
      <c r="AN149" s="112" t="s">
        <v>506</v>
      </c>
      <c r="AO149" s="123" t="s">
        <v>570</v>
      </c>
      <c r="AP149" s="124" t="s">
        <v>590</v>
      </c>
      <c r="AQ149" s="124" t="s">
        <v>857</v>
      </c>
      <c r="AR149" s="14" t="s">
        <v>11</v>
      </c>
      <c r="AS149" s="112" t="s">
        <v>383</v>
      </c>
      <c r="AZ149" s="117"/>
      <c r="BA149" s="117"/>
    </row>
    <row r="150" spans="35:53" ht="39.9" customHeight="1" x14ac:dyDescent="0.3">
      <c r="AI150" s="128" t="str">
        <f t="shared" si="12"/>
        <v>SKMR-MACA</v>
      </c>
      <c r="AJ150" s="129" t="s">
        <v>356</v>
      </c>
      <c r="AK150" s="129" t="s">
        <v>406</v>
      </c>
      <c r="AL150" s="130" t="s">
        <v>457</v>
      </c>
      <c r="AM150" s="129" t="str">
        <f t="shared" si="13"/>
        <v>Improbable Catastrófico</v>
      </c>
      <c r="AN150" s="129" t="s">
        <v>498</v>
      </c>
      <c r="AO150" s="131" t="s">
        <v>572</v>
      </c>
      <c r="AP150" s="132" t="s">
        <v>573</v>
      </c>
      <c r="AQ150" s="132" t="s">
        <v>851</v>
      </c>
      <c r="AR150" s="14"/>
      <c r="AS150" s="129" t="s">
        <v>356</v>
      </c>
      <c r="AZ150" s="117"/>
      <c r="BA150" s="117"/>
    </row>
    <row r="151" spans="35:53" ht="39.9" customHeight="1" x14ac:dyDescent="0.3">
      <c r="AI151" s="128" t="str">
        <f t="shared" si="12"/>
        <v>SKMR-BASH</v>
      </c>
      <c r="AJ151" s="129" t="s">
        <v>356</v>
      </c>
      <c r="AK151" s="129" t="s">
        <v>407</v>
      </c>
      <c r="AL151" s="130" t="s">
        <v>435</v>
      </c>
      <c r="AM151" s="129" t="str">
        <f t="shared" si="13"/>
        <v>Frecuente Catastrófico</v>
      </c>
      <c r="AN151" s="129" t="s">
        <v>499</v>
      </c>
      <c r="AO151" s="131" t="s">
        <v>523</v>
      </c>
      <c r="AP151" s="132" t="s">
        <v>701</v>
      </c>
      <c r="AQ151" s="132" t="s">
        <v>858</v>
      </c>
      <c r="AR151" s="14"/>
      <c r="AS151" s="129" t="s">
        <v>356</v>
      </c>
      <c r="AZ151" s="117"/>
      <c r="BA151" s="117"/>
    </row>
    <row r="152" spans="35:53" ht="39.9" customHeight="1" x14ac:dyDescent="0.3">
      <c r="AI152" s="128" t="str">
        <f t="shared" si="12"/>
        <v>SKMR-GAP</v>
      </c>
      <c r="AJ152" s="129" t="s">
        <v>356</v>
      </c>
      <c r="AK152" s="129" t="s">
        <v>408</v>
      </c>
      <c r="AL152" s="130" t="s">
        <v>454</v>
      </c>
      <c r="AM152" s="129" t="str">
        <f t="shared" si="13"/>
        <v>Remoto Leve</v>
      </c>
      <c r="AN152" s="129" t="s">
        <v>500</v>
      </c>
      <c r="AO152" s="131" t="s">
        <v>615</v>
      </c>
      <c r="AP152" s="132" t="s">
        <v>649</v>
      </c>
      <c r="AQ152" s="132" t="s">
        <v>859</v>
      </c>
      <c r="AR152" s="14"/>
      <c r="AS152" s="129" t="s">
        <v>356</v>
      </c>
      <c r="AZ152" s="117"/>
      <c r="BA152" s="117"/>
    </row>
    <row r="153" spans="35:53" ht="39.9" customHeight="1" x14ac:dyDescent="0.3">
      <c r="AI153" s="128" t="str">
        <f t="shared" si="12"/>
        <v>SKMR-CFIT</v>
      </c>
      <c r="AJ153" s="129" t="s">
        <v>356</v>
      </c>
      <c r="AK153" s="129" t="s">
        <v>409</v>
      </c>
      <c r="AL153" s="130" t="s">
        <v>457</v>
      </c>
      <c r="AM153" s="129" t="str">
        <f t="shared" si="13"/>
        <v>Improbable Catastrófico</v>
      </c>
      <c r="AN153" s="129" t="s">
        <v>501</v>
      </c>
      <c r="AO153" s="131" t="s">
        <v>529</v>
      </c>
      <c r="AP153" s="132" t="s">
        <v>701</v>
      </c>
      <c r="AQ153" s="132" t="s">
        <v>854</v>
      </c>
      <c r="AR153" s="14"/>
      <c r="AS153" s="129" t="s">
        <v>356</v>
      </c>
      <c r="AZ153" s="117"/>
      <c r="BA153" s="117"/>
    </row>
    <row r="154" spans="35:53" ht="39.9" customHeight="1" x14ac:dyDescent="0.3">
      <c r="AI154" s="128" t="str">
        <f t="shared" si="12"/>
        <v>SKMR-FOD</v>
      </c>
      <c r="AJ154" s="129" t="s">
        <v>356</v>
      </c>
      <c r="AK154" s="129" t="s">
        <v>410</v>
      </c>
      <c r="AL154" s="130" t="s">
        <v>466</v>
      </c>
      <c r="AM154" s="129" t="str">
        <f t="shared" si="13"/>
        <v>Extremadamente Improbable Leve</v>
      </c>
      <c r="AN154" s="129" t="s">
        <v>503</v>
      </c>
      <c r="AO154" s="131" t="s">
        <v>524</v>
      </c>
      <c r="AP154" s="132" t="s">
        <v>701</v>
      </c>
      <c r="AQ154" s="132" t="s">
        <v>855</v>
      </c>
      <c r="AR154" s="14"/>
      <c r="AS154" s="129" t="s">
        <v>356</v>
      </c>
      <c r="AZ154" s="117"/>
      <c r="BA154" s="117"/>
    </row>
    <row r="155" spans="35:53" ht="39.9" customHeight="1" x14ac:dyDescent="0.3">
      <c r="AI155" s="128" t="str">
        <f t="shared" si="12"/>
        <v>SKMR-RIP</v>
      </c>
      <c r="AJ155" s="129" t="s">
        <v>356</v>
      </c>
      <c r="AK155" s="129" t="s">
        <v>412</v>
      </c>
      <c r="AL155" s="130" t="s">
        <v>459</v>
      </c>
      <c r="AM155" s="129" t="str">
        <f t="shared" si="13"/>
        <v>Improbable Importante</v>
      </c>
      <c r="AN155" s="129" t="s">
        <v>505</v>
      </c>
      <c r="AO155" s="131" t="s">
        <v>650</v>
      </c>
      <c r="AP155" s="132" t="s">
        <v>589</v>
      </c>
      <c r="AQ155" s="132" t="s">
        <v>860</v>
      </c>
      <c r="AR155" s="14"/>
      <c r="AS155" s="129" t="s">
        <v>356</v>
      </c>
      <c r="AZ155" s="117"/>
      <c r="BA155" s="117"/>
    </row>
    <row r="156" spans="35:53" ht="39.9" customHeight="1" x14ac:dyDescent="0.3">
      <c r="AI156" s="128" t="str">
        <f t="shared" si="12"/>
        <v>SKMR-ALAR</v>
      </c>
      <c r="AJ156" s="129" t="s">
        <v>356</v>
      </c>
      <c r="AK156" s="129" t="s">
        <v>411</v>
      </c>
      <c r="AL156" s="130" t="s">
        <v>458</v>
      </c>
      <c r="AM156" s="129" t="str">
        <f t="shared" si="13"/>
        <v>Improbable Peligroso</v>
      </c>
      <c r="AN156" s="129" t="s">
        <v>506</v>
      </c>
      <c r="AO156" s="131" t="s">
        <v>577</v>
      </c>
      <c r="AP156" s="132" t="s">
        <v>701</v>
      </c>
      <c r="AQ156" s="132" t="s">
        <v>861</v>
      </c>
      <c r="AR156" s="14"/>
      <c r="AS156" s="129" t="s">
        <v>356</v>
      </c>
      <c r="AZ156" s="117"/>
      <c r="BA156" s="117"/>
    </row>
    <row r="157" spans="35:53" ht="39.9" customHeight="1" x14ac:dyDescent="0.3">
      <c r="AI157" s="121" t="str">
        <f t="shared" si="12"/>
        <v>SKMZ-MACA</v>
      </c>
      <c r="AJ157" s="112" t="s">
        <v>353</v>
      </c>
      <c r="AK157" s="112" t="s">
        <v>406</v>
      </c>
      <c r="AL157" s="122" t="s">
        <v>451</v>
      </c>
      <c r="AM157" s="112" t="str">
        <f t="shared" si="13"/>
        <v>Remoto Catastrófico</v>
      </c>
      <c r="AN157" s="112" t="s">
        <v>498</v>
      </c>
      <c r="AO157" s="123" t="s">
        <v>651</v>
      </c>
      <c r="AP157" s="124" t="s">
        <v>652</v>
      </c>
      <c r="AQ157" s="124" t="s">
        <v>851</v>
      </c>
      <c r="AR157" s="14"/>
      <c r="AS157" s="112" t="s">
        <v>353</v>
      </c>
      <c r="AZ157" s="117"/>
      <c r="BA157" s="117"/>
    </row>
    <row r="158" spans="35:53" ht="39.9" customHeight="1" x14ac:dyDescent="0.3">
      <c r="AI158" s="121" t="str">
        <f t="shared" si="12"/>
        <v>SKMZ-BASH</v>
      </c>
      <c r="AJ158" s="112" t="s">
        <v>353</v>
      </c>
      <c r="AK158" s="112" t="s">
        <v>407</v>
      </c>
      <c r="AL158" s="122" t="s">
        <v>458</v>
      </c>
      <c r="AM158" s="112" t="str">
        <f t="shared" si="13"/>
        <v>Improbable Peligroso</v>
      </c>
      <c r="AN158" s="112" t="s">
        <v>499</v>
      </c>
      <c r="AO158" s="123" t="s">
        <v>542</v>
      </c>
      <c r="AP158" s="124" t="s">
        <v>701</v>
      </c>
      <c r="AQ158" s="124" t="s">
        <v>858</v>
      </c>
      <c r="AR158" s="14"/>
      <c r="AS158" s="112" t="s">
        <v>353</v>
      </c>
      <c r="AZ158" s="117"/>
      <c r="BA158" s="117"/>
    </row>
    <row r="159" spans="35:53" ht="39.9" customHeight="1" x14ac:dyDescent="0.3">
      <c r="AI159" s="121" t="str">
        <f t="shared" si="12"/>
        <v>SKMZ-GAP</v>
      </c>
      <c r="AJ159" s="112" t="s">
        <v>353</v>
      </c>
      <c r="AK159" s="112" t="s">
        <v>408</v>
      </c>
      <c r="AL159" s="122" t="s">
        <v>460</v>
      </c>
      <c r="AM159" s="112" t="str">
        <f t="shared" si="13"/>
        <v>Improbable Leve</v>
      </c>
      <c r="AN159" s="112" t="s">
        <v>500</v>
      </c>
      <c r="AO159" s="123" t="s">
        <v>653</v>
      </c>
      <c r="AP159" s="124" t="s">
        <v>654</v>
      </c>
      <c r="AQ159" s="124" t="s">
        <v>859</v>
      </c>
      <c r="AR159" s="14"/>
      <c r="AS159" s="112" t="s">
        <v>353</v>
      </c>
      <c r="AZ159" s="117"/>
      <c r="BA159" s="117"/>
    </row>
    <row r="160" spans="35:53" ht="39.9" customHeight="1" x14ac:dyDescent="0.3">
      <c r="AI160" s="121" t="str">
        <f t="shared" si="12"/>
        <v>SKMZ-CFIT</v>
      </c>
      <c r="AJ160" s="112" t="s">
        <v>353</v>
      </c>
      <c r="AK160" s="112" t="s">
        <v>409</v>
      </c>
      <c r="AL160" s="122" t="s">
        <v>451</v>
      </c>
      <c r="AM160" s="112" t="str">
        <f t="shared" si="13"/>
        <v>Remoto Catastrófico</v>
      </c>
      <c r="AN160" s="112" t="s">
        <v>501</v>
      </c>
      <c r="AO160" s="123" t="s">
        <v>564</v>
      </c>
      <c r="AP160" s="124" t="s">
        <v>655</v>
      </c>
      <c r="AQ160" s="124" t="s">
        <v>854</v>
      </c>
      <c r="AR160" s="14"/>
      <c r="AS160" s="112" t="s">
        <v>353</v>
      </c>
      <c r="AZ160" s="117"/>
      <c r="BA160" s="117"/>
    </row>
    <row r="161" spans="35:53" ht="39.9" customHeight="1" x14ac:dyDescent="0.3">
      <c r="AI161" s="121" t="str">
        <f t="shared" si="12"/>
        <v>SKMZ-FOD</v>
      </c>
      <c r="AJ161" s="112" t="s">
        <v>353</v>
      </c>
      <c r="AK161" s="112" t="s">
        <v>410</v>
      </c>
      <c r="AL161" s="122" t="s">
        <v>460</v>
      </c>
      <c r="AM161" s="112" t="str">
        <f t="shared" si="13"/>
        <v>Improbable Leve</v>
      </c>
      <c r="AN161" s="112" t="s">
        <v>503</v>
      </c>
      <c r="AO161" s="123" t="s">
        <v>524</v>
      </c>
      <c r="AP161" s="124" t="s">
        <v>701</v>
      </c>
      <c r="AQ161" s="124" t="s">
        <v>855</v>
      </c>
      <c r="AR161" s="14"/>
      <c r="AS161" s="112" t="s">
        <v>353</v>
      </c>
      <c r="AZ161" s="117"/>
      <c r="BA161" s="117"/>
    </row>
    <row r="162" spans="35:53" ht="39.9" customHeight="1" x14ac:dyDescent="0.3">
      <c r="AI162" s="121" t="str">
        <f t="shared" si="12"/>
        <v>SKMZ-RIP</v>
      </c>
      <c r="AJ162" s="112" t="s">
        <v>353</v>
      </c>
      <c r="AK162" s="112" t="s">
        <v>412</v>
      </c>
      <c r="AL162" s="122" t="s">
        <v>459</v>
      </c>
      <c r="AM162" s="112" t="str">
        <f t="shared" si="13"/>
        <v>Improbable Importante</v>
      </c>
      <c r="AN162" s="112" t="s">
        <v>505</v>
      </c>
      <c r="AO162" s="123" t="s">
        <v>605</v>
      </c>
      <c r="AP162" s="124" t="s">
        <v>701</v>
      </c>
      <c r="AQ162" s="124" t="s">
        <v>860</v>
      </c>
      <c r="AR162" s="14"/>
      <c r="AS162" s="112" t="s">
        <v>353</v>
      </c>
      <c r="AZ162" s="117"/>
      <c r="BA162" s="117"/>
    </row>
    <row r="163" spans="35:53" ht="39.9" customHeight="1" x14ac:dyDescent="0.3">
      <c r="AI163" s="121" t="str">
        <f t="shared" si="12"/>
        <v>SKMZ-ALAR</v>
      </c>
      <c r="AJ163" s="112" t="s">
        <v>353</v>
      </c>
      <c r="AK163" s="112" t="s">
        <v>411</v>
      </c>
      <c r="AL163" s="122" t="s">
        <v>436</v>
      </c>
      <c r="AM163" s="112" t="str">
        <f t="shared" si="13"/>
        <v>Frecuente Peligroso</v>
      </c>
      <c r="AN163" s="112" t="s">
        <v>506</v>
      </c>
      <c r="AO163" s="123" t="s">
        <v>656</v>
      </c>
      <c r="AP163" s="124" t="s">
        <v>657</v>
      </c>
      <c r="AQ163" s="124" t="s">
        <v>861</v>
      </c>
      <c r="AR163" s="14"/>
      <c r="AS163" s="112" t="s">
        <v>353</v>
      </c>
      <c r="AZ163" s="117"/>
      <c r="BA163" s="117"/>
    </row>
    <row r="164" spans="35:53" ht="39.9" customHeight="1" x14ac:dyDescent="0.3">
      <c r="AI164" s="128" t="str">
        <f t="shared" si="12"/>
        <v>SKNV-MACA</v>
      </c>
      <c r="AJ164" s="129" t="s">
        <v>357</v>
      </c>
      <c r="AK164" s="129" t="s">
        <v>406</v>
      </c>
      <c r="AL164" s="130" t="s">
        <v>451</v>
      </c>
      <c r="AM164" s="129" t="str">
        <f t="shared" si="13"/>
        <v>Remoto Catastrófico</v>
      </c>
      <c r="AN164" s="129" t="s">
        <v>498</v>
      </c>
      <c r="AO164" s="131" t="s">
        <v>572</v>
      </c>
      <c r="AP164" s="132" t="s">
        <v>573</v>
      </c>
      <c r="AQ164" s="132" t="s">
        <v>851</v>
      </c>
      <c r="AR164" s="14"/>
      <c r="AS164" s="129" t="s">
        <v>357</v>
      </c>
      <c r="AZ164" s="117"/>
      <c r="BA164" s="117"/>
    </row>
    <row r="165" spans="35:53" ht="39.9" customHeight="1" x14ac:dyDescent="0.3">
      <c r="AI165" s="128" t="str">
        <f t="shared" si="12"/>
        <v>SKNV-BASH</v>
      </c>
      <c r="AJ165" s="129" t="s">
        <v>357</v>
      </c>
      <c r="AK165" s="129" t="s">
        <v>407</v>
      </c>
      <c r="AL165" s="130" t="s">
        <v>452</v>
      </c>
      <c r="AM165" s="129" t="str">
        <f t="shared" si="13"/>
        <v>Remoto Peligroso</v>
      </c>
      <c r="AN165" s="129" t="s">
        <v>499</v>
      </c>
      <c r="AO165" s="131" t="s">
        <v>523</v>
      </c>
      <c r="AP165" s="132" t="s">
        <v>701</v>
      </c>
      <c r="AQ165" s="132" t="s">
        <v>858</v>
      </c>
      <c r="AR165" s="14"/>
      <c r="AS165" s="129" t="s">
        <v>357</v>
      </c>
      <c r="AZ165" s="117"/>
      <c r="BA165" s="117"/>
    </row>
    <row r="166" spans="35:53" ht="39.9" customHeight="1" x14ac:dyDescent="0.3">
      <c r="AI166" s="128" t="str">
        <f t="shared" si="12"/>
        <v>SKNV-GAP</v>
      </c>
      <c r="AJ166" s="129" t="s">
        <v>357</v>
      </c>
      <c r="AK166" s="129" t="s">
        <v>408</v>
      </c>
      <c r="AL166" s="130" t="s">
        <v>460</v>
      </c>
      <c r="AM166" s="129" t="str">
        <f t="shared" si="13"/>
        <v>Improbable Leve</v>
      </c>
      <c r="AN166" s="129" t="s">
        <v>500</v>
      </c>
      <c r="AO166" s="131" t="s">
        <v>615</v>
      </c>
      <c r="AP166" s="132" t="s">
        <v>658</v>
      </c>
      <c r="AQ166" s="132" t="s">
        <v>859</v>
      </c>
      <c r="AR166" s="14"/>
      <c r="AS166" s="129" t="s">
        <v>357</v>
      </c>
      <c r="AZ166" s="117"/>
      <c r="BA166" s="117"/>
    </row>
    <row r="167" spans="35:53" ht="39.9" customHeight="1" x14ac:dyDescent="0.3">
      <c r="AI167" s="128" t="str">
        <f t="shared" si="12"/>
        <v>SKNV-CFIT</v>
      </c>
      <c r="AJ167" s="129" t="s">
        <v>357</v>
      </c>
      <c r="AK167" s="129" t="s">
        <v>409</v>
      </c>
      <c r="AL167" s="130" t="s">
        <v>457</v>
      </c>
      <c r="AM167" s="129" t="str">
        <f t="shared" si="13"/>
        <v>Improbable Catastrófico</v>
      </c>
      <c r="AN167" s="129" t="s">
        <v>501</v>
      </c>
      <c r="AO167" s="131" t="s">
        <v>529</v>
      </c>
      <c r="AP167" s="132" t="s">
        <v>701</v>
      </c>
      <c r="AQ167" s="132" t="s">
        <v>854</v>
      </c>
      <c r="AR167" s="14"/>
      <c r="AS167" s="129" t="s">
        <v>357</v>
      </c>
      <c r="AZ167" s="117"/>
      <c r="BA167" s="117"/>
    </row>
    <row r="168" spans="35:53" ht="39.9" customHeight="1" x14ac:dyDescent="0.3">
      <c r="AI168" s="128" t="str">
        <f t="shared" si="12"/>
        <v>SKNV-FOD</v>
      </c>
      <c r="AJ168" s="129" t="s">
        <v>357</v>
      </c>
      <c r="AK168" s="129" t="s">
        <v>410</v>
      </c>
      <c r="AL168" s="130" t="s">
        <v>460</v>
      </c>
      <c r="AM168" s="129" t="str">
        <f t="shared" si="13"/>
        <v>Improbable Leve</v>
      </c>
      <c r="AN168" s="129" t="s">
        <v>503</v>
      </c>
      <c r="AO168" s="131" t="s">
        <v>524</v>
      </c>
      <c r="AP168" s="132" t="s">
        <v>701</v>
      </c>
      <c r="AQ168" s="132" t="s">
        <v>855</v>
      </c>
      <c r="AR168" s="14"/>
      <c r="AS168" s="129" t="s">
        <v>357</v>
      </c>
      <c r="AZ168" s="117"/>
      <c r="BA168" s="117"/>
    </row>
    <row r="169" spans="35:53" ht="39.9" customHeight="1" x14ac:dyDescent="0.3">
      <c r="AI169" s="128" t="str">
        <f t="shared" si="12"/>
        <v>SKNV-RIP</v>
      </c>
      <c r="AJ169" s="129" t="s">
        <v>357</v>
      </c>
      <c r="AK169" s="129" t="s">
        <v>412</v>
      </c>
      <c r="AL169" s="130" t="s">
        <v>453</v>
      </c>
      <c r="AM169" s="129" t="str">
        <f t="shared" si="13"/>
        <v>Remoto Importante</v>
      </c>
      <c r="AN169" s="129" t="s">
        <v>505</v>
      </c>
      <c r="AO169" s="131" t="s">
        <v>600</v>
      </c>
      <c r="AP169" s="132" t="s">
        <v>659</v>
      </c>
      <c r="AQ169" s="132" t="s">
        <v>860</v>
      </c>
      <c r="AR169" s="14"/>
      <c r="AS169" s="129" t="s">
        <v>357</v>
      </c>
      <c r="AZ169" s="117"/>
      <c r="BA169" s="117"/>
    </row>
    <row r="170" spans="35:53" ht="39.9" customHeight="1" x14ac:dyDescent="0.3">
      <c r="AI170" s="128" t="str">
        <f t="shared" si="12"/>
        <v>SKNV-ALAR</v>
      </c>
      <c r="AJ170" s="129" t="s">
        <v>357</v>
      </c>
      <c r="AK170" s="129" t="s">
        <v>411</v>
      </c>
      <c r="AL170" s="130" t="s">
        <v>458</v>
      </c>
      <c r="AM170" s="129" t="str">
        <f t="shared" si="13"/>
        <v>Improbable Peligroso</v>
      </c>
      <c r="AN170" s="129" t="s">
        <v>506</v>
      </c>
      <c r="AO170" s="131" t="s">
        <v>543</v>
      </c>
      <c r="AP170" s="132" t="s">
        <v>660</v>
      </c>
      <c r="AQ170" s="132" t="s">
        <v>861</v>
      </c>
      <c r="AR170" s="14"/>
      <c r="AS170" s="129" t="s">
        <v>357</v>
      </c>
      <c r="AZ170" s="117"/>
      <c r="BA170" s="117"/>
    </row>
    <row r="171" spans="35:53" ht="39.9" customHeight="1" x14ac:dyDescent="0.3">
      <c r="AI171" s="121" t="str">
        <f t="shared" si="12"/>
        <v>SKOT-MACA</v>
      </c>
      <c r="AJ171" s="112" t="s">
        <v>475</v>
      </c>
      <c r="AK171" s="112" t="s">
        <v>406</v>
      </c>
      <c r="AL171" s="122" t="s">
        <v>457</v>
      </c>
      <c r="AM171" s="112" t="str">
        <f t="shared" si="13"/>
        <v>Improbable Catastrófico</v>
      </c>
      <c r="AN171" s="112" t="s">
        <v>498</v>
      </c>
      <c r="AO171" s="123" t="s">
        <v>527</v>
      </c>
      <c r="AP171" s="124" t="s">
        <v>701</v>
      </c>
      <c r="AQ171" s="124" t="s">
        <v>851</v>
      </c>
      <c r="AR171" s="14" t="s">
        <v>11</v>
      </c>
      <c r="AS171" s="112" t="s">
        <v>475</v>
      </c>
      <c r="AZ171" s="117"/>
      <c r="BA171" s="117"/>
    </row>
    <row r="172" spans="35:53" ht="39.9" customHeight="1" x14ac:dyDescent="0.3">
      <c r="AI172" s="121" t="str">
        <f t="shared" si="12"/>
        <v>SKOT-BASH</v>
      </c>
      <c r="AJ172" s="112" t="s">
        <v>475</v>
      </c>
      <c r="AK172" s="112" t="s">
        <v>407</v>
      </c>
      <c r="AL172" s="122" t="s">
        <v>452</v>
      </c>
      <c r="AM172" s="112" t="str">
        <f t="shared" si="13"/>
        <v>Remoto Peligroso</v>
      </c>
      <c r="AN172" s="112" t="s">
        <v>499</v>
      </c>
      <c r="AO172" s="123" t="s">
        <v>646</v>
      </c>
      <c r="AP172" s="124" t="s">
        <v>550</v>
      </c>
      <c r="AQ172" s="124" t="s">
        <v>852</v>
      </c>
      <c r="AR172" s="14" t="s">
        <v>11</v>
      </c>
      <c r="AS172" s="112" t="s">
        <v>475</v>
      </c>
      <c r="AZ172" s="117"/>
      <c r="BA172" s="117"/>
    </row>
    <row r="173" spans="35:53" ht="39.9" customHeight="1" x14ac:dyDescent="0.3">
      <c r="AI173" s="121" t="str">
        <f t="shared" si="12"/>
        <v>SKOT-GAP</v>
      </c>
      <c r="AJ173" s="112" t="s">
        <v>475</v>
      </c>
      <c r="AK173" s="112" t="s">
        <v>408</v>
      </c>
      <c r="AL173" s="122" t="s">
        <v>454</v>
      </c>
      <c r="AM173" s="112" t="str">
        <f t="shared" si="13"/>
        <v>Remoto Leve</v>
      </c>
      <c r="AN173" s="112" t="s">
        <v>500</v>
      </c>
      <c r="AO173" s="123" t="s">
        <v>521</v>
      </c>
      <c r="AP173" s="124" t="s">
        <v>701</v>
      </c>
      <c r="AQ173" s="124" t="s">
        <v>853</v>
      </c>
      <c r="AR173" s="14" t="s">
        <v>11</v>
      </c>
      <c r="AS173" s="112" t="s">
        <v>475</v>
      </c>
      <c r="AZ173" s="117"/>
      <c r="BA173" s="117"/>
    </row>
    <row r="174" spans="35:53" ht="39.9" customHeight="1" x14ac:dyDescent="0.3">
      <c r="AI174" s="121" t="str">
        <f t="shared" si="12"/>
        <v>SKOT-CFIT</v>
      </c>
      <c r="AJ174" s="112" t="s">
        <v>475</v>
      </c>
      <c r="AK174" s="112" t="s">
        <v>409</v>
      </c>
      <c r="AL174" s="122" t="s">
        <v>451</v>
      </c>
      <c r="AM174" s="112" t="str">
        <f t="shared" si="13"/>
        <v>Remoto Catastrófico</v>
      </c>
      <c r="AN174" s="112" t="s">
        <v>501</v>
      </c>
      <c r="AO174" s="123" t="s">
        <v>528</v>
      </c>
      <c r="AP174" s="124" t="s">
        <v>701</v>
      </c>
      <c r="AQ174" s="124" t="s">
        <v>854</v>
      </c>
      <c r="AR174" s="14" t="s">
        <v>11</v>
      </c>
      <c r="AS174" s="112" t="s">
        <v>475</v>
      </c>
      <c r="AZ174" s="117"/>
      <c r="BA174" s="117"/>
    </row>
    <row r="175" spans="35:53" ht="39.9" customHeight="1" x14ac:dyDescent="0.3">
      <c r="AI175" s="121" t="str">
        <f t="shared" si="12"/>
        <v>SKOT-FOD</v>
      </c>
      <c r="AJ175" s="112" t="s">
        <v>475</v>
      </c>
      <c r="AK175" s="112" t="s">
        <v>410</v>
      </c>
      <c r="AL175" s="122" t="s">
        <v>454</v>
      </c>
      <c r="AM175" s="112" t="str">
        <f t="shared" si="13"/>
        <v>Remoto Leve</v>
      </c>
      <c r="AN175" s="112" t="s">
        <v>503</v>
      </c>
      <c r="AO175" s="123" t="s">
        <v>522</v>
      </c>
      <c r="AP175" s="124" t="s">
        <v>701</v>
      </c>
      <c r="AQ175" s="124" t="s">
        <v>855</v>
      </c>
      <c r="AR175" s="14" t="s">
        <v>11</v>
      </c>
      <c r="AS175" s="112" t="s">
        <v>475</v>
      </c>
      <c r="AZ175" s="117"/>
      <c r="BA175" s="117"/>
    </row>
    <row r="176" spans="35:53" ht="39.9" customHeight="1" x14ac:dyDescent="0.3">
      <c r="AI176" s="121" t="str">
        <f t="shared" si="12"/>
        <v>SKOT-RIP</v>
      </c>
      <c r="AJ176" s="112" t="s">
        <v>475</v>
      </c>
      <c r="AK176" s="112" t="s">
        <v>412</v>
      </c>
      <c r="AL176" s="122" t="s">
        <v>445</v>
      </c>
      <c r="AM176" s="112" t="str">
        <f t="shared" si="13"/>
        <v>Ocasional Importante</v>
      </c>
      <c r="AN176" s="112" t="s">
        <v>505</v>
      </c>
      <c r="AO176" s="123" t="s">
        <v>555</v>
      </c>
      <c r="AP176" s="124" t="s">
        <v>556</v>
      </c>
      <c r="AQ176" s="124" t="s">
        <v>856</v>
      </c>
      <c r="AR176" s="14" t="s">
        <v>11</v>
      </c>
      <c r="AS176" s="112" t="s">
        <v>475</v>
      </c>
      <c r="AZ176" s="117"/>
      <c r="BA176" s="117"/>
    </row>
    <row r="177" spans="35:53" ht="39.9" customHeight="1" x14ac:dyDescent="0.3">
      <c r="AI177" s="121" t="str">
        <f t="shared" si="12"/>
        <v>SKOT-ALAR</v>
      </c>
      <c r="AJ177" s="112" t="s">
        <v>475</v>
      </c>
      <c r="AK177" s="112" t="s">
        <v>411</v>
      </c>
      <c r="AL177" s="122" t="s">
        <v>443</v>
      </c>
      <c r="AM177" s="112" t="str">
        <f t="shared" si="13"/>
        <v>Ocasional Catastrófico</v>
      </c>
      <c r="AN177" s="112" t="s">
        <v>506</v>
      </c>
      <c r="AO177" s="123" t="s">
        <v>661</v>
      </c>
      <c r="AP177" s="124" t="s">
        <v>662</v>
      </c>
      <c r="AQ177" s="124" t="s">
        <v>857</v>
      </c>
      <c r="AR177" s="14" t="s">
        <v>11</v>
      </c>
      <c r="AS177" s="112" t="s">
        <v>475</v>
      </c>
      <c r="AZ177" s="117"/>
      <c r="BA177" s="117"/>
    </row>
    <row r="178" spans="35:53" ht="39.9" customHeight="1" x14ac:dyDescent="0.3">
      <c r="AI178" s="128" t="str">
        <f t="shared" si="12"/>
        <v>SKPB-MACA</v>
      </c>
      <c r="AJ178" s="129" t="s">
        <v>476</v>
      </c>
      <c r="AK178" s="129" t="s">
        <v>406</v>
      </c>
      <c r="AL178" s="130" t="s">
        <v>457</v>
      </c>
      <c r="AM178" s="129" t="str">
        <f t="shared" si="13"/>
        <v>Improbable Catastrófico</v>
      </c>
      <c r="AN178" s="129" t="s">
        <v>498</v>
      </c>
      <c r="AO178" s="131" t="s">
        <v>527</v>
      </c>
      <c r="AP178" s="132" t="s">
        <v>701</v>
      </c>
      <c r="AQ178" s="132" t="s">
        <v>851</v>
      </c>
      <c r="AR178" s="14" t="s">
        <v>11</v>
      </c>
      <c r="AS178" s="129" t="s">
        <v>476</v>
      </c>
      <c r="AZ178" s="117"/>
      <c r="BA178" s="117"/>
    </row>
    <row r="179" spans="35:53" ht="39.9" customHeight="1" x14ac:dyDescent="0.3">
      <c r="AI179" s="128" t="str">
        <f t="shared" si="12"/>
        <v>SKPB-BASH</v>
      </c>
      <c r="AJ179" s="129" t="s">
        <v>476</v>
      </c>
      <c r="AK179" s="129" t="s">
        <v>407</v>
      </c>
      <c r="AL179" s="130" t="s">
        <v>452</v>
      </c>
      <c r="AM179" s="129" t="str">
        <f t="shared" si="13"/>
        <v>Remoto Peligroso</v>
      </c>
      <c r="AN179" s="129" t="s">
        <v>499</v>
      </c>
      <c r="AO179" s="131" t="s">
        <v>646</v>
      </c>
      <c r="AP179" s="132" t="s">
        <v>550</v>
      </c>
      <c r="AQ179" s="132" t="s">
        <v>852</v>
      </c>
      <c r="AR179" s="14" t="s">
        <v>11</v>
      </c>
      <c r="AS179" s="129" t="s">
        <v>476</v>
      </c>
      <c r="AZ179" s="117"/>
      <c r="BA179" s="117"/>
    </row>
    <row r="180" spans="35:53" ht="39.9" customHeight="1" x14ac:dyDescent="0.3">
      <c r="AI180" s="128" t="str">
        <f t="shared" si="12"/>
        <v>SKPB-GAP</v>
      </c>
      <c r="AJ180" s="129" t="s">
        <v>476</v>
      </c>
      <c r="AK180" s="129" t="s">
        <v>408</v>
      </c>
      <c r="AL180" s="130" t="s">
        <v>460</v>
      </c>
      <c r="AM180" s="129" t="str">
        <f t="shared" si="13"/>
        <v>Improbable Leve</v>
      </c>
      <c r="AN180" s="129" t="s">
        <v>500</v>
      </c>
      <c r="AO180" s="131" t="s">
        <v>521</v>
      </c>
      <c r="AP180" s="132" t="s">
        <v>701</v>
      </c>
      <c r="AQ180" s="132" t="s">
        <v>853</v>
      </c>
      <c r="AR180" s="14" t="s">
        <v>11</v>
      </c>
      <c r="AS180" s="129" t="s">
        <v>476</v>
      </c>
      <c r="AZ180" s="117"/>
      <c r="BA180" s="117"/>
    </row>
    <row r="181" spans="35:53" ht="39.9" customHeight="1" x14ac:dyDescent="0.3">
      <c r="AI181" s="128" t="str">
        <f t="shared" si="12"/>
        <v>SKPB-CFIT</v>
      </c>
      <c r="AJ181" s="129" t="s">
        <v>476</v>
      </c>
      <c r="AK181" s="129" t="s">
        <v>409</v>
      </c>
      <c r="AL181" s="130" t="s">
        <v>457</v>
      </c>
      <c r="AM181" s="129" t="str">
        <f t="shared" si="13"/>
        <v>Improbable Catastrófico</v>
      </c>
      <c r="AN181" s="129" t="s">
        <v>501</v>
      </c>
      <c r="AO181" s="131" t="s">
        <v>528</v>
      </c>
      <c r="AP181" s="132" t="s">
        <v>701</v>
      </c>
      <c r="AQ181" s="132" t="s">
        <v>854</v>
      </c>
      <c r="AR181" s="14" t="s">
        <v>11</v>
      </c>
      <c r="AS181" s="129" t="s">
        <v>476</v>
      </c>
      <c r="AZ181" s="117"/>
      <c r="BA181" s="117"/>
    </row>
    <row r="182" spans="35:53" ht="39.9" customHeight="1" x14ac:dyDescent="0.3">
      <c r="AI182" s="128" t="str">
        <f t="shared" si="12"/>
        <v>SKPB-FOD</v>
      </c>
      <c r="AJ182" s="129" t="s">
        <v>476</v>
      </c>
      <c r="AK182" s="129" t="s">
        <v>410</v>
      </c>
      <c r="AL182" s="130" t="s">
        <v>454</v>
      </c>
      <c r="AM182" s="129" t="str">
        <f t="shared" si="13"/>
        <v>Remoto Leve</v>
      </c>
      <c r="AN182" s="129" t="s">
        <v>503</v>
      </c>
      <c r="AO182" s="131" t="s">
        <v>522</v>
      </c>
      <c r="AP182" s="132" t="s">
        <v>701</v>
      </c>
      <c r="AQ182" s="132" t="s">
        <v>855</v>
      </c>
      <c r="AR182" s="14" t="s">
        <v>11</v>
      </c>
      <c r="AS182" s="129" t="s">
        <v>476</v>
      </c>
      <c r="AZ182" s="117"/>
      <c r="BA182" s="117"/>
    </row>
    <row r="183" spans="35:53" ht="39.9" customHeight="1" x14ac:dyDescent="0.3">
      <c r="AI183" s="128" t="str">
        <f t="shared" si="12"/>
        <v>SKPB-RIP</v>
      </c>
      <c r="AJ183" s="129" t="s">
        <v>476</v>
      </c>
      <c r="AK183" s="129" t="s">
        <v>412</v>
      </c>
      <c r="AL183" s="130" t="s">
        <v>445</v>
      </c>
      <c r="AM183" s="129" t="str">
        <f t="shared" si="13"/>
        <v>Ocasional Importante</v>
      </c>
      <c r="AN183" s="129" t="s">
        <v>505</v>
      </c>
      <c r="AO183" s="131" t="s">
        <v>555</v>
      </c>
      <c r="AP183" s="132" t="s">
        <v>589</v>
      </c>
      <c r="AQ183" s="132" t="s">
        <v>856</v>
      </c>
      <c r="AR183" s="14" t="s">
        <v>11</v>
      </c>
      <c r="AS183" s="129" t="s">
        <v>476</v>
      </c>
      <c r="AZ183" s="117"/>
      <c r="BA183" s="117"/>
    </row>
    <row r="184" spans="35:53" ht="39.9" customHeight="1" x14ac:dyDescent="0.3">
      <c r="AI184" s="128" t="str">
        <f t="shared" si="12"/>
        <v>SKPB-ALAR</v>
      </c>
      <c r="AJ184" s="129" t="s">
        <v>476</v>
      </c>
      <c r="AK184" s="129" t="s">
        <v>411</v>
      </c>
      <c r="AL184" s="130" t="s">
        <v>451</v>
      </c>
      <c r="AM184" s="129" t="str">
        <f t="shared" si="13"/>
        <v>Remoto Catastrófico</v>
      </c>
      <c r="AN184" s="129" t="s">
        <v>506</v>
      </c>
      <c r="AO184" s="131" t="s">
        <v>661</v>
      </c>
      <c r="AP184" s="132" t="s">
        <v>662</v>
      </c>
      <c r="AQ184" s="132" t="s">
        <v>857</v>
      </c>
      <c r="AR184" s="14" t="s">
        <v>11</v>
      </c>
      <c r="AS184" s="129" t="s">
        <v>476</v>
      </c>
      <c r="AZ184" s="117"/>
      <c r="BA184" s="117"/>
    </row>
    <row r="185" spans="35:53" ht="39.9" customHeight="1" x14ac:dyDescent="0.3">
      <c r="AI185" s="121" t="str">
        <f t="shared" si="12"/>
        <v>SKPE-MACA</v>
      </c>
      <c r="AJ185" s="112" t="s">
        <v>358</v>
      </c>
      <c r="AK185" s="112" t="s">
        <v>406</v>
      </c>
      <c r="AL185" s="122" t="s">
        <v>451</v>
      </c>
      <c r="AM185" s="112" t="str">
        <f t="shared" si="13"/>
        <v>Remoto Catastrófico</v>
      </c>
      <c r="AN185" s="112" t="s">
        <v>498</v>
      </c>
      <c r="AO185" s="123" t="s">
        <v>572</v>
      </c>
      <c r="AP185" s="124" t="s">
        <v>573</v>
      </c>
      <c r="AQ185" s="124" t="s">
        <v>851</v>
      </c>
      <c r="AR185" s="14"/>
      <c r="AS185" s="112" t="s">
        <v>358</v>
      </c>
      <c r="AZ185" s="117"/>
      <c r="BA185" s="117"/>
    </row>
    <row r="186" spans="35:53" ht="39.9" customHeight="1" x14ac:dyDescent="0.3">
      <c r="AI186" s="121" t="str">
        <f t="shared" si="12"/>
        <v>SKPE-BASH</v>
      </c>
      <c r="AJ186" s="112" t="s">
        <v>358</v>
      </c>
      <c r="AK186" s="112" t="s">
        <v>407</v>
      </c>
      <c r="AL186" s="122" t="s">
        <v>452</v>
      </c>
      <c r="AM186" s="112" t="str">
        <f t="shared" si="13"/>
        <v>Remoto Peligroso</v>
      </c>
      <c r="AN186" s="112" t="s">
        <v>499</v>
      </c>
      <c r="AO186" s="123" t="s">
        <v>523</v>
      </c>
      <c r="AP186" s="124" t="s">
        <v>701</v>
      </c>
      <c r="AQ186" s="124" t="s">
        <v>858</v>
      </c>
      <c r="AR186" s="14"/>
      <c r="AS186" s="112" t="s">
        <v>358</v>
      </c>
      <c r="AZ186" s="117"/>
      <c r="BA186" s="117"/>
    </row>
    <row r="187" spans="35:53" ht="39.9" customHeight="1" x14ac:dyDescent="0.3">
      <c r="AI187" s="121" t="str">
        <f t="shared" si="12"/>
        <v>SKPE-GAP</v>
      </c>
      <c r="AJ187" s="112" t="s">
        <v>358</v>
      </c>
      <c r="AK187" s="112" t="s">
        <v>408</v>
      </c>
      <c r="AL187" s="122" t="s">
        <v>460</v>
      </c>
      <c r="AM187" s="112" t="str">
        <f t="shared" si="13"/>
        <v>Improbable Leve</v>
      </c>
      <c r="AN187" s="112" t="s">
        <v>500</v>
      </c>
      <c r="AO187" s="123" t="s">
        <v>615</v>
      </c>
      <c r="AP187" s="124" t="s">
        <v>658</v>
      </c>
      <c r="AQ187" s="124" t="s">
        <v>859</v>
      </c>
      <c r="AR187" s="14"/>
      <c r="AS187" s="112" t="s">
        <v>358</v>
      </c>
      <c r="AZ187" s="117"/>
      <c r="BA187" s="117"/>
    </row>
    <row r="188" spans="35:53" ht="39.9" customHeight="1" x14ac:dyDescent="0.3">
      <c r="AI188" s="121" t="str">
        <f t="shared" si="12"/>
        <v>SKPE-CFIT</v>
      </c>
      <c r="AJ188" s="112" t="s">
        <v>358</v>
      </c>
      <c r="AK188" s="112" t="s">
        <v>409</v>
      </c>
      <c r="AL188" s="122" t="s">
        <v>457</v>
      </c>
      <c r="AM188" s="112" t="str">
        <f t="shared" si="13"/>
        <v>Improbable Catastrófico</v>
      </c>
      <c r="AN188" s="112" t="s">
        <v>501</v>
      </c>
      <c r="AO188" s="123" t="s">
        <v>663</v>
      </c>
      <c r="AP188" s="124" t="s">
        <v>701</v>
      </c>
      <c r="AQ188" s="124" t="s">
        <v>854</v>
      </c>
      <c r="AR188" s="14"/>
      <c r="AS188" s="112" t="s">
        <v>358</v>
      </c>
      <c r="AZ188" s="117"/>
      <c r="BA188" s="117"/>
    </row>
    <row r="189" spans="35:53" ht="39.9" customHeight="1" x14ac:dyDescent="0.3">
      <c r="AI189" s="121" t="str">
        <f t="shared" ref="AI189:AI252" si="14">CONCATENATE(AJ189,"-",AK189)</f>
        <v>SKPE-FOD</v>
      </c>
      <c r="AJ189" s="112" t="s">
        <v>358</v>
      </c>
      <c r="AK189" s="112" t="s">
        <v>410</v>
      </c>
      <c r="AL189" s="122" t="s">
        <v>466</v>
      </c>
      <c r="AM189" s="112" t="str">
        <f t="shared" si="13"/>
        <v>Extremadamente Improbable Leve</v>
      </c>
      <c r="AN189" s="112" t="s">
        <v>503</v>
      </c>
      <c r="AO189" s="123" t="s">
        <v>524</v>
      </c>
      <c r="AP189" s="124" t="s">
        <v>701</v>
      </c>
      <c r="AQ189" s="124" t="s">
        <v>855</v>
      </c>
      <c r="AR189" s="14"/>
      <c r="AS189" s="112" t="s">
        <v>358</v>
      </c>
      <c r="AZ189" s="117"/>
      <c r="BA189" s="117"/>
    </row>
    <row r="190" spans="35:53" ht="39.9" customHeight="1" x14ac:dyDescent="0.3">
      <c r="AI190" s="121" t="str">
        <f t="shared" si="14"/>
        <v>SKPE-RIP</v>
      </c>
      <c r="AJ190" s="112" t="s">
        <v>358</v>
      </c>
      <c r="AK190" s="112" t="s">
        <v>412</v>
      </c>
      <c r="AL190" s="122" t="s">
        <v>459</v>
      </c>
      <c r="AM190" s="112" t="str">
        <f t="shared" si="13"/>
        <v>Improbable Importante</v>
      </c>
      <c r="AN190" s="112" t="s">
        <v>505</v>
      </c>
      <c r="AO190" s="123" t="s">
        <v>650</v>
      </c>
      <c r="AP190" s="124" t="s">
        <v>701</v>
      </c>
      <c r="AQ190" s="124" t="s">
        <v>860</v>
      </c>
      <c r="AR190" s="14"/>
      <c r="AS190" s="112" t="s">
        <v>358</v>
      </c>
      <c r="AZ190" s="117"/>
      <c r="BA190" s="117"/>
    </row>
    <row r="191" spans="35:53" ht="39.9" customHeight="1" x14ac:dyDescent="0.3">
      <c r="AI191" s="121" t="str">
        <f t="shared" si="14"/>
        <v>SKPE-ALAR</v>
      </c>
      <c r="AJ191" s="112" t="s">
        <v>358</v>
      </c>
      <c r="AK191" s="112" t="s">
        <v>411</v>
      </c>
      <c r="AL191" s="122" t="s">
        <v>452</v>
      </c>
      <c r="AM191" s="112" t="str">
        <f t="shared" si="13"/>
        <v>Remoto Peligroso</v>
      </c>
      <c r="AN191" s="112" t="s">
        <v>506</v>
      </c>
      <c r="AO191" s="123" t="s">
        <v>577</v>
      </c>
      <c r="AP191" s="124" t="s">
        <v>701</v>
      </c>
      <c r="AQ191" s="124" t="s">
        <v>861</v>
      </c>
      <c r="AR191" s="14"/>
      <c r="AS191" s="112" t="s">
        <v>358</v>
      </c>
      <c r="AZ191" s="117"/>
      <c r="BA191" s="117"/>
    </row>
    <row r="192" spans="35:53" ht="39.9" customHeight="1" x14ac:dyDescent="0.3">
      <c r="AI192" s="128" t="str">
        <f t="shared" si="14"/>
        <v>SKPI-MACA</v>
      </c>
      <c r="AJ192" s="129" t="s">
        <v>390</v>
      </c>
      <c r="AK192" s="129" t="s">
        <v>406</v>
      </c>
      <c r="AL192" s="130" t="s">
        <v>457</v>
      </c>
      <c r="AM192" s="129" t="str">
        <f t="shared" si="13"/>
        <v>Improbable Catastrófico</v>
      </c>
      <c r="AN192" s="129" t="s">
        <v>498</v>
      </c>
      <c r="AO192" s="131"/>
      <c r="AP192" s="132"/>
      <c r="AQ192" s="132"/>
      <c r="AR192" s="14" t="s">
        <v>11</v>
      </c>
      <c r="AS192" s="129" t="s">
        <v>390</v>
      </c>
      <c r="AZ192" s="117"/>
      <c r="BA192" s="117"/>
    </row>
    <row r="193" spans="35:53" ht="39.9" customHeight="1" x14ac:dyDescent="0.3">
      <c r="AI193" s="128" t="str">
        <f t="shared" si="14"/>
        <v>SKPI-BASH</v>
      </c>
      <c r="AJ193" s="129" t="s">
        <v>390</v>
      </c>
      <c r="AK193" s="129" t="s">
        <v>407</v>
      </c>
      <c r="AL193" s="130" t="s">
        <v>458</v>
      </c>
      <c r="AM193" s="129" t="str">
        <f t="shared" si="13"/>
        <v>Improbable Peligroso</v>
      </c>
      <c r="AN193" s="129" t="s">
        <v>499</v>
      </c>
      <c r="AO193" s="131"/>
      <c r="AP193" s="132"/>
      <c r="AQ193" s="132"/>
      <c r="AR193" s="14" t="s">
        <v>11</v>
      </c>
      <c r="AS193" s="129" t="s">
        <v>390</v>
      </c>
      <c r="AZ193" s="117"/>
      <c r="BA193" s="117"/>
    </row>
    <row r="194" spans="35:53" ht="39.9" customHeight="1" x14ac:dyDescent="0.3">
      <c r="AI194" s="128" t="str">
        <f t="shared" si="14"/>
        <v>SKPI-GAP</v>
      </c>
      <c r="AJ194" s="129" t="s">
        <v>390</v>
      </c>
      <c r="AK194" s="129" t="s">
        <v>408</v>
      </c>
      <c r="AL194" s="130" t="s">
        <v>460</v>
      </c>
      <c r="AM194" s="129" t="str">
        <f t="shared" si="13"/>
        <v>Improbable Leve</v>
      </c>
      <c r="AN194" s="129" t="s">
        <v>500</v>
      </c>
      <c r="AO194" s="131"/>
      <c r="AP194" s="132"/>
      <c r="AQ194" s="132"/>
      <c r="AR194" s="14" t="s">
        <v>11</v>
      </c>
      <c r="AS194" s="129" t="s">
        <v>390</v>
      </c>
      <c r="AZ194" s="117"/>
      <c r="BA194" s="117"/>
    </row>
    <row r="195" spans="35:53" ht="39.9" customHeight="1" x14ac:dyDescent="0.3">
      <c r="AI195" s="128" t="str">
        <f t="shared" si="14"/>
        <v>SKPI-CFIT</v>
      </c>
      <c r="AJ195" s="129" t="s">
        <v>390</v>
      </c>
      <c r="AK195" s="129" t="s">
        <v>409</v>
      </c>
      <c r="AL195" s="130" t="s">
        <v>451</v>
      </c>
      <c r="AM195" s="129" t="str">
        <f t="shared" si="13"/>
        <v>Remoto Catastrófico</v>
      </c>
      <c r="AN195" s="129" t="s">
        <v>501</v>
      </c>
      <c r="AO195" s="131"/>
      <c r="AP195" s="132"/>
      <c r="AQ195" s="132"/>
      <c r="AR195" s="14" t="s">
        <v>11</v>
      </c>
      <c r="AS195" s="129" t="s">
        <v>390</v>
      </c>
      <c r="AZ195" s="117"/>
      <c r="BA195" s="117"/>
    </row>
    <row r="196" spans="35:53" ht="39.9" customHeight="1" x14ac:dyDescent="0.3">
      <c r="AI196" s="128" t="str">
        <f t="shared" si="14"/>
        <v>SKPI-FOD</v>
      </c>
      <c r="AJ196" s="129" t="s">
        <v>390</v>
      </c>
      <c r="AK196" s="129" t="s">
        <v>410</v>
      </c>
      <c r="AL196" s="130" t="s">
        <v>460</v>
      </c>
      <c r="AM196" s="129" t="str">
        <f t="shared" ref="AM196:AM254" si="15">VLOOKUP(AL196,$I$3:$O$27,7,FALSE)</f>
        <v>Improbable Leve</v>
      </c>
      <c r="AN196" s="129" t="s">
        <v>503</v>
      </c>
      <c r="AO196" s="131"/>
      <c r="AP196" s="132"/>
      <c r="AQ196" s="132"/>
      <c r="AR196" s="14" t="s">
        <v>11</v>
      </c>
      <c r="AS196" s="129" t="s">
        <v>390</v>
      </c>
      <c r="AZ196" s="117"/>
      <c r="BA196" s="117"/>
    </row>
    <row r="197" spans="35:53" ht="39.9" customHeight="1" x14ac:dyDescent="0.3">
      <c r="AI197" s="128" t="str">
        <f t="shared" si="14"/>
        <v>SKPI-RIP</v>
      </c>
      <c r="AJ197" s="129" t="s">
        <v>390</v>
      </c>
      <c r="AK197" s="129" t="s">
        <v>412</v>
      </c>
      <c r="AL197" s="130" t="s">
        <v>445</v>
      </c>
      <c r="AM197" s="129" t="str">
        <f t="shared" si="15"/>
        <v>Ocasional Importante</v>
      </c>
      <c r="AN197" s="129" t="s">
        <v>505</v>
      </c>
      <c r="AO197" s="131"/>
      <c r="AP197" s="132"/>
      <c r="AQ197" s="132"/>
      <c r="AR197" s="14" t="s">
        <v>11</v>
      </c>
      <c r="AS197" s="129" t="s">
        <v>390</v>
      </c>
      <c r="AZ197" s="117"/>
      <c r="BA197" s="117"/>
    </row>
    <row r="198" spans="35:53" ht="39.9" customHeight="1" x14ac:dyDescent="0.3">
      <c r="AI198" s="128" t="str">
        <f t="shared" si="14"/>
        <v>SKPI-ALAR</v>
      </c>
      <c r="AJ198" s="129" t="s">
        <v>390</v>
      </c>
      <c r="AK198" s="129" t="s">
        <v>411</v>
      </c>
      <c r="AL198" s="130" t="s">
        <v>452</v>
      </c>
      <c r="AM198" s="129" t="str">
        <f t="shared" si="15"/>
        <v>Remoto Peligroso</v>
      </c>
      <c r="AN198" s="129" t="s">
        <v>506</v>
      </c>
      <c r="AO198" s="131"/>
      <c r="AP198" s="132"/>
      <c r="AQ198" s="132"/>
      <c r="AR198" s="14" t="s">
        <v>11</v>
      </c>
      <c r="AS198" s="129" t="s">
        <v>390</v>
      </c>
      <c r="AZ198" s="117"/>
      <c r="BA198" s="117"/>
    </row>
    <row r="199" spans="35:53" ht="39.9" customHeight="1" x14ac:dyDescent="0.3">
      <c r="AI199" s="121" t="str">
        <f t="shared" si="14"/>
        <v>SKPP-MACA</v>
      </c>
      <c r="AJ199" s="112" t="s">
        <v>473</v>
      </c>
      <c r="AK199" s="112" t="s">
        <v>406</v>
      </c>
      <c r="AL199" s="122" t="s">
        <v>451</v>
      </c>
      <c r="AM199" s="112" t="str">
        <f t="shared" si="15"/>
        <v>Remoto Catastrófico</v>
      </c>
      <c r="AN199" s="112" t="s">
        <v>498</v>
      </c>
      <c r="AO199" s="123"/>
      <c r="AP199" s="124"/>
      <c r="AQ199" s="124"/>
      <c r="AR199" s="14"/>
      <c r="AS199" s="112" t="s">
        <v>473</v>
      </c>
      <c r="AZ199" s="117"/>
      <c r="BA199" s="117"/>
    </row>
    <row r="200" spans="35:53" ht="39.9" customHeight="1" x14ac:dyDescent="0.3">
      <c r="AI200" s="121" t="str">
        <f t="shared" si="14"/>
        <v>SKPP-BASH</v>
      </c>
      <c r="AJ200" s="112" t="s">
        <v>473</v>
      </c>
      <c r="AK200" s="112" t="s">
        <v>407</v>
      </c>
      <c r="AL200" s="122" t="s">
        <v>458</v>
      </c>
      <c r="AM200" s="112" t="str">
        <f t="shared" si="15"/>
        <v>Improbable Peligroso</v>
      </c>
      <c r="AN200" s="112" t="s">
        <v>499</v>
      </c>
      <c r="AO200" s="123"/>
      <c r="AP200" s="124"/>
      <c r="AQ200" s="124"/>
      <c r="AR200" s="14"/>
      <c r="AS200" s="112" t="s">
        <v>473</v>
      </c>
      <c r="AZ200" s="117"/>
      <c r="BA200" s="117"/>
    </row>
    <row r="201" spans="35:53" ht="39.9" customHeight="1" x14ac:dyDescent="0.3">
      <c r="AI201" s="121" t="str">
        <f t="shared" si="14"/>
        <v>SKPP-GAP</v>
      </c>
      <c r="AJ201" s="112" t="s">
        <v>473</v>
      </c>
      <c r="AK201" s="112" t="s">
        <v>408</v>
      </c>
      <c r="AL201" s="122" t="s">
        <v>460</v>
      </c>
      <c r="AM201" s="112" t="str">
        <f t="shared" si="15"/>
        <v>Improbable Leve</v>
      </c>
      <c r="AN201" s="112" t="s">
        <v>500</v>
      </c>
      <c r="AO201" s="123"/>
      <c r="AP201" s="124"/>
      <c r="AQ201" s="124"/>
      <c r="AR201" s="14"/>
      <c r="AS201" s="112" t="s">
        <v>473</v>
      </c>
      <c r="AZ201" s="117"/>
      <c r="BA201" s="117"/>
    </row>
    <row r="202" spans="35:53" ht="39.9" customHeight="1" x14ac:dyDescent="0.3">
      <c r="AI202" s="121" t="str">
        <f t="shared" si="14"/>
        <v>SKPP-CFIT</v>
      </c>
      <c r="AJ202" s="112" t="s">
        <v>473</v>
      </c>
      <c r="AK202" s="112" t="s">
        <v>409</v>
      </c>
      <c r="AL202" s="122" t="s">
        <v>451</v>
      </c>
      <c r="AM202" s="112" t="str">
        <f t="shared" si="15"/>
        <v>Remoto Catastrófico</v>
      </c>
      <c r="AN202" s="112" t="s">
        <v>501</v>
      </c>
      <c r="AO202" s="123"/>
      <c r="AP202" s="124"/>
      <c r="AQ202" s="124"/>
      <c r="AR202" s="14"/>
      <c r="AS202" s="112" t="s">
        <v>473</v>
      </c>
      <c r="AZ202" s="117"/>
      <c r="BA202" s="117"/>
    </row>
    <row r="203" spans="35:53" ht="39.9" customHeight="1" x14ac:dyDescent="0.3">
      <c r="AI203" s="121" t="str">
        <f t="shared" si="14"/>
        <v>SKPP-FOD</v>
      </c>
      <c r="AJ203" s="112" t="s">
        <v>473</v>
      </c>
      <c r="AK203" s="112" t="s">
        <v>410</v>
      </c>
      <c r="AL203" s="122" t="s">
        <v>460</v>
      </c>
      <c r="AM203" s="112" t="str">
        <f t="shared" si="15"/>
        <v>Improbable Leve</v>
      </c>
      <c r="AN203" s="112" t="s">
        <v>503</v>
      </c>
      <c r="AO203" s="123"/>
      <c r="AP203" s="124"/>
      <c r="AQ203" s="124"/>
      <c r="AR203" s="14"/>
      <c r="AS203" s="112" t="s">
        <v>473</v>
      </c>
      <c r="AZ203" s="117"/>
      <c r="BA203" s="117"/>
    </row>
    <row r="204" spans="35:53" ht="39.9" customHeight="1" x14ac:dyDescent="0.3">
      <c r="AI204" s="121" t="str">
        <f t="shared" si="14"/>
        <v>SKPP-RIP</v>
      </c>
      <c r="AJ204" s="112" t="s">
        <v>473</v>
      </c>
      <c r="AK204" s="112" t="s">
        <v>412</v>
      </c>
      <c r="AL204" s="122" t="s">
        <v>459</v>
      </c>
      <c r="AM204" s="112" t="str">
        <f t="shared" si="15"/>
        <v>Improbable Importante</v>
      </c>
      <c r="AN204" s="112" t="s">
        <v>505</v>
      </c>
      <c r="AO204" s="123"/>
      <c r="AP204" s="124"/>
      <c r="AQ204" s="124"/>
      <c r="AR204" s="14"/>
      <c r="AS204" s="112" t="s">
        <v>473</v>
      </c>
      <c r="AZ204" s="117"/>
      <c r="BA204" s="117"/>
    </row>
    <row r="205" spans="35:53" ht="39.9" customHeight="1" x14ac:dyDescent="0.3">
      <c r="AI205" s="121" t="str">
        <f t="shared" si="14"/>
        <v>SKPP-ALAR</v>
      </c>
      <c r="AJ205" s="112" t="s">
        <v>473</v>
      </c>
      <c r="AK205" s="112" t="s">
        <v>411</v>
      </c>
      <c r="AL205" s="122" t="s">
        <v>452</v>
      </c>
      <c r="AM205" s="112" t="str">
        <f t="shared" si="15"/>
        <v>Remoto Peligroso</v>
      </c>
      <c r="AN205" s="112" t="s">
        <v>506</v>
      </c>
      <c r="AO205" s="123"/>
      <c r="AP205" s="124"/>
      <c r="AQ205" s="124"/>
      <c r="AR205" s="14"/>
      <c r="AS205" s="112" t="s">
        <v>473</v>
      </c>
      <c r="AZ205" s="117"/>
      <c r="BA205" s="117"/>
    </row>
    <row r="206" spans="35:53" ht="39.9" customHeight="1" x14ac:dyDescent="0.3">
      <c r="AI206" s="128" t="str">
        <f t="shared" si="14"/>
        <v>SKQU-MACA</v>
      </c>
      <c r="AJ206" s="129" t="s">
        <v>354</v>
      </c>
      <c r="AK206" s="129" t="s">
        <v>406</v>
      </c>
      <c r="AL206" s="130" t="s">
        <v>435</v>
      </c>
      <c r="AM206" s="129" t="str">
        <f t="shared" si="15"/>
        <v>Frecuente Catastrófico</v>
      </c>
      <c r="AN206" s="129" t="s">
        <v>498</v>
      </c>
      <c r="AO206" s="131" t="s">
        <v>664</v>
      </c>
      <c r="AP206" s="132" t="s">
        <v>665</v>
      </c>
      <c r="AQ206" s="132" t="s">
        <v>851</v>
      </c>
      <c r="AR206" s="14"/>
      <c r="AS206" s="129" t="s">
        <v>354</v>
      </c>
      <c r="AZ206" s="117"/>
      <c r="BA206" s="117"/>
    </row>
    <row r="207" spans="35:53" ht="39.9" customHeight="1" x14ac:dyDescent="0.3">
      <c r="AI207" s="128" t="str">
        <f t="shared" si="14"/>
        <v>SKQU-BASH</v>
      </c>
      <c r="AJ207" s="129" t="s">
        <v>354</v>
      </c>
      <c r="AK207" s="129" t="s">
        <v>407</v>
      </c>
      <c r="AL207" s="130" t="s">
        <v>444</v>
      </c>
      <c r="AM207" s="129" t="str">
        <f t="shared" si="15"/>
        <v>Ocasional Peligroso</v>
      </c>
      <c r="AN207" s="129" t="s">
        <v>499</v>
      </c>
      <c r="AO207" s="131" t="s">
        <v>544</v>
      </c>
      <c r="AP207" s="132" t="s">
        <v>701</v>
      </c>
      <c r="AQ207" s="132" t="s">
        <v>858</v>
      </c>
      <c r="AR207" s="14"/>
      <c r="AS207" s="129" t="s">
        <v>354</v>
      </c>
      <c r="AZ207" s="117"/>
      <c r="BA207" s="117"/>
    </row>
    <row r="208" spans="35:53" ht="39.9" customHeight="1" x14ac:dyDescent="0.3">
      <c r="AI208" s="128" t="str">
        <f t="shared" si="14"/>
        <v>SKQU-GAP</v>
      </c>
      <c r="AJ208" s="129" t="s">
        <v>354</v>
      </c>
      <c r="AK208" s="129" t="s">
        <v>408</v>
      </c>
      <c r="AL208" s="130" t="s">
        <v>460</v>
      </c>
      <c r="AM208" s="129" t="str">
        <f t="shared" si="15"/>
        <v>Improbable Leve</v>
      </c>
      <c r="AN208" s="129" t="s">
        <v>500</v>
      </c>
      <c r="AO208" s="131" t="s">
        <v>666</v>
      </c>
      <c r="AP208" s="132" t="s">
        <v>669</v>
      </c>
      <c r="AQ208" s="132" t="s">
        <v>859</v>
      </c>
      <c r="AR208" s="14"/>
      <c r="AS208" s="129" t="s">
        <v>354</v>
      </c>
      <c r="AZ208" s="117"/>
      <c r="BA208" s="117"/>
    </row>
    <row r="209" spans="35:53" ht="39.9" customHeight="1" x14ac:dyDescent="0.3">
      <c r="AI209" s="128" t="str">
        <f t="shared" si="14"/>
        <v>SKQU-CFIT</v>
      </c>
      <c r="AJ209" s="129" t="s">
        <v>354</v>
      </c>
      <c r="AK209" s="129" t="s">
        <v>409</v>
      </c>
      <c r="AL209" s="130" t="s">
        <v>457</v>
      </c>
      <c r="AM209" s="129" t="str">
        <f t="shared" si="15"/>
        <v>Improbable Catastrófico</v>
      </c>
      <c r="AN209" s="129" t="s">
        <v>501</v>
      </c>
      <c r="AO209" s="131" t="s">
        <v>668</v>
      </c>
      <c r="AP209" s="132" t="s">
        <v>667</v>
      </c>
      <c r="AQ209" s="132" t="s">
        <v>854</v>
      </c>
      <c r="AR209" s="14"/>
      <c r="AS209" s="129" t="s">
        <v>354</v>
      </c>
      <c r="AZ209" s="117"/>
      <c r="BA209" s="117"/>
    </row>
    <row r="210" spans="35:53" ht="39.9" customHeight="1" x14ac:dyDescent="0.3">
      <c r="AI210" s="128" t="str">
        <f t="shared" si="14"/>
        <v>SKQU-FOD</v>
      </c>
      <c r="AJ210" s="129" t="s">
        <v>354</v>
      </c>
      <c r="AK210" s="129" t="s">
        <v>410</v>
      </c>
      <c r="AL210" s="130" t="s">
        <v>446</v>
      </c>
      <c r="AM210" s="129" t="str">
        <f t="shared" si="15"/>
        <v>Ocasional Leve</v>
      </c>
      <c r="AN210" s="129" t="s">
        <v>503</v>
      </c>
      <c r="AO210" s="131" t="s">
        <v>504</v>
      </c>
      <c r="AP210" s="132" t="s">
        <v>701</v>
      </c>
      <c r="AQ210" s="132" t="s">
        <v>855</v>
      </c>
      <c r="AR210" s="14"/>
      <c r="AS210" s="129" t="s">
        <v>354</v>
      </c>
      <c r="AZ210" s="117"/>
      <c r="BA210" s="117"/>
    </row>
    <row r="211" spans="35:53" ht="39.9" customHeight="1" x14ac:dyDescent="0.3">
      <c r="AI211" s="128" t="str">
        <f t="shared" si="14"/>
        <v>SKQU-RIP</v>
      </c>
      <c r="AJ211" s="129" t="s">
        <v>354</v>
      </c>
      <c r="AK211" s="129" t="s">
        <v>412</v>
      </c>
      <c r="AL211" s="130" t="s">
        <v>453</v>
      </c>
      <c r="AM211" s="129" t="str">
        <f t="shared" si="15"/>
        <v>Remoto Importante</v>
      </c>
      <c r="AN211" s="129" t="s">
        <v>505</v>
      </c>
      <c r="AO211" s="131" t="s">
        <v>671</v>
      </c>
      <c r="AP211" s="132" t="s">
        <v>670</v>
      </c>
      <c r="AQ211" s="132" t="s">
        <v>860</v>
      </c>
      <c r="AR211" s="14"/>
      <c r="AS211" s="129" t="s">
        <v>354</v>
      </c>
      <c r="AZ211" s="117"/>
      <c r="BA211" s="117"/>
    </row>
    <row r="212" spans="35:53" ht="39.9" customHeight="1" x14ac:dyDescent="0.3">
      <c r="AI212" s="128" t="str">
        <f t="shared" si="14"/>
        <v>SKQU-ALAR</v>
      </c>
      <c r="AJ212" s="129" t="s">
        <v>354</v>
      </c>
      <c r="AK212" s="129" t="s">
        <v>411</v>
      </c>
      <c r="AL212" s="130" t="s">
        <v>444</v>
      </c>
      <c r="AM212" s="129" t="str">
        <f t="shared" si="15"/>
        <v>Ocasional Peligroso</v>
      </c>
      <c r="AN212" s="129" t="s">
        <v>506</v>
      </c>
      <c r="AO212" s="131" t="s">
        <v>672</v>
      </c>
      <c r="AP212" s="132" t="s">
        <v>673</v>
      </c>
      <c r="AQ212" s="132" t="s">
        <v>861</v>
      </c>
      <c r="AR212" s="14"/>
      <c r="AS212" s="129" t="s">
        <v>354</v>
      </c>
      <c r="AZ212" s="117"/>
      <c r="BA212" s="117"/>
    </row>
    <row r="213" spans="35:53" ht="39.9" customHeight="1" x14ac:dyDescent="0.3">
      <c r="AI213" s="121" t="str">
        <f t="shared" si="14"/>
        <v>SKRG-MACA</v>
      </c>
      <c r="AJ213" s="112" t="s">
        <v>359</v>
      </c>
      <c r="AK213" s="112" t="s">
        <v>406</v>
      </c>
      <c r="AL213" s="122" t="s">
        <v>457</v>
      </c>
      <c r="AM213" s="112" t="str">
        <f t="shared" si="15"/>
        <v>Improbable Catastrófico</v>
      </c>
      <c r="AN213" s="112" t="s">
        <v>498</v>
      </c>
      <c r="AO213" s="123" t="s">
        <v>525</v>
      </c>
      <c r="AP213" s="124" t="s">
        <v>701</v>
      </c>
      <c r="AQ213" s="124" t="s">
        <v>851</v>
      </c>
      <c r="AR213" s="14"/>
      <c r="AS213" s="112" t="s">
        <v>359</v>
      </c>
      <c r="AZ213" s="117"/>
      <c r="BA213" s="117"/>
    </row>
    <row r="214" spans="35:53" ht="39.9" customHeight="1" x14ac:dyDescent="0.3">
      <c r="AI214" s="121" t="str">
        <f t="shared" si="14"/>
        <v>SKRG-BASH</v>
      </c>
      <c r="AJ214" s="112" t="s">
        <v>359</v>
      </c>
      <c r="AK214" s="112" t="s">
        <v>407</v>
      </c>
      <c r="AL214" s="122" t="s">
        <v>458</v>
      </c>
      <c r="AM214" s="112" t="str">
        <f t="shared" si="15"/>
        <v>Improbable Peligroso</v>
      </c>
      <c r="AN214" s="112" t="s">
        <v>499</v>
      </c>
      <c r="AO214" s="123" t="s">
        <v>535</v>
      </c>
      <c r="AP214" s="124" t="s">
        <v>701</v>
      </c>
      <c r="AQ214" s="124" t="s">
        <v>858</v>
      </c>
      <c r="AR214" s="14"/>
      <c r="AS214" s="112" t="s">
        <v>359</v>
      </c>
      <c r="AZ214" s="117"/>
      <c r="BA214" s="117"/>
    </row>
    <row r="215" spans="35:53" ht="39.9" customHeight="1" x14ac:dyDescent="0.3">
      <c r="AI215" s="121" t="str">
        <f t="shared" si="14"/>
        <v>SKRG-GAP</v>
      </c>
      <c r="AJ215" s="112" t="s">
        <v>359</v>
      </c>
      <c r="AK215" s="112" t="s">
        <v>408</v>
      </c>
      <c r="AL215" s="122" t="s">
        <v>466</v>
      </c>
      <c r="AM215" s="112" t="str">
        <f t="shared" si="15"/>
        <v>Extremadamente Improbable Leve</v>
      </c>
      <c r="AN215" s="112" t="s">
        <v>500</v>
      </c>
      <c r="AO215" s="123" t="s">
        <v>602</v>
      </c>
      <c r="AP215" s="124" t="s">
        <v>658</v>
      </c>
      <c r="AQ215" s="124" t="s">
        <v>859</v>
      </c>
      <c r="AR215" s="14"/>
      <c r="AS215" s="112" t="s">
        <v>359</v>
      </c>
      <c r="AZ215" s="117"/>
      <c r="BA215" s="117"/>
    </row>
    <row r="216" spans="35:53" ht="39.9" customHeight="1" x14ac:dyDescent="0.3">
      <c r="AI216" s="121" t="str">
        <f t="shared" si="14"/>
        <v>SKRG-CFIT</v>
      </c>
      <c r="AJ216" s="112" t="s">
        <v>359</v>
      </c>
      <c r="AK216" s="112" t="s">
        <v>409</v>
      </c>
      <c r="AL216" s="122" t="s">
        <v>457</v>
      </c>
      <c r="AM216" s="112" t="str">
        <f t="shared" si="15"/>
        <v>Improbable Catastrófico</v>
      </c>
      <c r="AN216" s="112" t="s">
        <v>501</v>
      </c>
      <c r="AO216" s="123" t="s">
        <v>580</v>
      </c>
      <c r="AP216" s="124" t="s">
        <v>674</v>
      </c>
      <c r="AQ216" s="124" t="s">
        <v>854</v>
      </c>
      <c r="AR216" s="14"/>
      <c r="AS216" s="112" t="s">
        <v>359</v>
      </c>
      <c r="AZ216" s="117"/>
      <c r="BA216" s="117"/>
    </row>
    <row r="217" spans="35:53" ht="39.9" customHeight="1" x14ac:dyDescent="0.3">
      <c r="AI217" s="121" t="str">
        <f t="shared" si="14"/>
        <v>SKRG-FOD</v>
      </c>
      <c r="AJ217" s="112" t="s">
        <v>359</v>
      </c>
      <c r="AK217" s="112" t="s">
        <v>410</v>
      </c>
      <c r="AL217" s="122" t="s">
        <v>466</v>
      </c>
      <c r="AM217" s="112" t="str">
        <f t="shared" si="15"/>
        <v>Extremadamente Improbable Leve</v>
      </c>
      <c r="AN217" s="112" t="s">
        <v>503</v>
      </c>
      <c r="AO217" s="123" t="s">
        <v>524</v>
      </c>
      <c r="AP217" s="124" t="s">
        <v>701</v>
      </c>
      <c r="AQ217" s="124" t="s">
        <v>855</v>
      </c>
      <c r="AR217" s="14"/>
      <c r="AS217" s="112" t="s">
        <v>359</v>
      </c>
      <c r="AZ217" s="117"/>
      <c r="BA217" s="117"/>
    </row>
    <row r="218" spans="35:53" ht="39.9" customHeight="1" x14ac:dyDescent="0.3">
      <c r="AI218" s="121" t="str">
        <f t="shared" si="14"/>
        <v>SKRG-RIP</v>
      </c>
      <c r="AJ218" s="112" t="s">
        <v>359</v>
      </c>
      <c r="AK218" s="112" t="s">
        <v>412</v>
      </c>
      <c r="AL218" s="122" t="s">
        <v>459</v>
      </c>
      <c r="AM218" s="112" t="str">
        <f t="shared" si="15"/>
        <v>Improbable Importante</v>
      </c>
      <c r="AN218" s="112" t="s">
        <v>505</v>
      </c>
      <c r="AO218" s="123" t="s">
        <v>545</v>
      </c>
      <c r="AP218" s="124" t="s">
        <v>701</v>
      </c>
      <c r="AQ218" s="124" t="s">
        <v>860</v>
      </c>
      <c r="AR218" s="14"/>
      <c r="AS218" s="112" t="s">
        <v>359</v>
      </c>
      <c r="AZ218" s="117"/>
      <c r="BA218" s="117"/>
    </row>
    <row r="219" spans="35:53" ht="39.9" customHeight="1" x14ac:dyDescent="0.3">
      <c r="AI219" s="121" t="str">
        <f t="shared" si="14"/>
        <v>SKRG-ALAR</v>
      </c>
      <c r="AJ219" s="112" t="s">
        <v>359</v>
      </c>
      <c r="AK219" s="112" t="s">
        <v>411</v>
      </c>
      <c r="AL219" s="122" t="s">
        <v>458</v>
      </c>
      <c r="AM219" s="112" t="str">
        <f t="shared" si="15"/>
        <v>Improbable Peligroso</v>
      </c>
      <c r="AN219" s="112" t="s">
        <v>506</v>
      </c>
      <c r="AO219" s="123" t="s">
        <v>543</v>
      </c>
      <c r="AP219" s="124" t="s">
        <v>573</v>
      </c>
      <c r="AQ219" s="124" t="s">
        <v>861</v>
      </c>
      <c r="AR219" s="14"/>
      <c r="AS219" s="112" t="s">
        <v>359</v>
      </c>
      <c r="AZ219" s="117"/>
      <c r="BA219" s="117"/>
    </row>
    <row r="220" spans="35:53" ht="39.9" customHeight="1" x14ac:dyDescent="0.3">
      <c r="AI220" s="128" t="str">
        <f t="shared" si="14"/>
        <v>SKRH-MACA</v>
      </c>
      <c r="AJ220" s="129" t="s">
        <v>388</v>
      </c>
      <c r="AK220" s="129" t="s">
        <v>406</v>
      </c>
      <c r="AL220" s="130" t="s">
        <v>451</v>
      </c>
      <c r="AM220" s="129" t="str">
        <f t="shared" si="15"/>
        <v>Remoto Catastrófico</v>
      </c>
      <c r="AN220" s="129" t="s">
        <v>498</v>
      </c>
      <c r="AO220" s="131" t="s">
        <v>675</v>
      </c>
      <c r="AP220" s="132" t="s">
        <v>701</v>
      </c>
      <c r="AQ220" s="132" t="s">
        <v>851</v>
      </c>
      <c r="AR220" s="14"/>
      <c r="AS220" s="129" t="s">
        <v>388</v>
      </c>
      <c r="AZ220" s="117"/>
      <c r="BA220" s="117"/>
    </row>
    <row r="221" spans="35:53" ht="39.9" customHeight="1" x14ac:dyDescent="0.3">
      <c r="AI221" s="128" t="str">
        <f t="shared" si="14"/>
        <v>SKRH-BASH</v>
      </c>
      <c r="AJ221" s="129" t="s">
        <v>388</v>
      </c>
      <c r="AK221" s="129" t="s">
        <v>407</v>
      </c>
      <c r="AL221" s="130" t="s">
        <v>444</v>
      </c>
      <c r="AM221" s="129" t="str">
        <f t="shared" si="15"/>
        <v>Ocasional Peligroso</v>
      </c>
      <c r="AN221" s="129" t="s">
        <v>499</v>
      </c>
      <c r="AO221" s="131" t="s">
        <v>531</v>
      </c>
      <c r="AP221" s="132" t="s">
        <v>583</v>
      </c>
      <c r="AQ221" s="132" t="s">
        <v>858</v>
      </c>
      <c r="AR221" s="14"/>
      <c r="AS221" s="129" t="s">
        <v>388</v>
      </c>
      <c r="AZ221" s="117"/>
      <c r="BA221" s="117"/>
    </row>
    <row r="222" spans="35:53" ht="39.9" customHeight="1" x14ac:dyDescent="0.3">
      <c r="AI222" s="128" t="str">
        <f t="shared" si="14"/>
        <v>SKRH-GAP</v>
      </c>
      <c r="AJ222" s="129" t="s">
        <v>388</v>
      </c>
      <c r="AK222" s="129" t="s">
        <v>408</v>
      </c>
      <c r="AL222" s="130" t="s">
        <v>460</v>
      </c>
      <c r="AM222" s="129" t="str">
        <f t="shared" si="15"/>
        <v>Improbable Leve</v>
      </c>
      <c r="AN222" s="129" t="s">
        <v>500</v>
      </c>
      <c r="AO222" s="131" t="s">
        <v>602</v>
      </c>
      <c r="AP222" s="132" t="s">
        <v>658</v>
      </c>
      <c r="AQ222" s="132" t="s">
        <v>859</v>
      </c>
      <c r="AR222" s="14"/>
      <c r="AS222" s="129" t="s">
        <v>388</v>
      </c>
      <c r="AZ222" s="117"/>
      <c r="BA222" s="117"/>
    </row>
    <row r="223" spans="35:53" ht="39.9" customHeight="1" x14ac:dyDescent="0.3">
      <c r="AI223" s="128" t="str">
        <f t="shared" si="14"/>
        <v>SKRH-CFIT</v>
      </c>
      <c r="AJ223" s="129" t="s">
        <v>388</v>
      </c>
      <c r="AK223" s="129" t="s">
        <v>409</v>
      </c>
      <c r="AL223" s="130" t="s">
        <v>457</v>
      </c>
      <c r="AM223" s="129" t="str">
        <f t="shared" si="15"/>
        <v>Improbable Catastrófico</v>
      </c>
      <c r="AN223" s="129" t="s">
        <v>501</v>
      </c>
      <c r="AO223" s="131" t="s">
        <v>586</v>
      </c>
      <c r="AP223" s="132" t="s">
        <v>676</v>
      </c>
      <c r="AQ223" s="132" t="s">
        <v>854</v>
      </c>
      <c r="AR223" s="14"/>
      <c r="AS223" s="129" t="s">
        <v>388</v>
      </c>
      <c r="AZ223" s="117"/>
      <c r="BA223" s="117"/>
    </row>
    <row r="224" spans="35:53" ht="39.9" customHeight="1" x14ac:dyDescent="0.3">
      <c r="AI224" s="128" t="str">
        <f t="shared" si="14"/>
        <v>SKRH-FOD</v>
      </c>
      <c r="AJ224" s="129" t="s">
        <v>388</v>
      </c>
      <c r="AK224" s="129" t="s">
        <v>410</v>
      </c>
      <c r="AL224" s="130" t="s">
        <v>454</v>
      </c>
      <c r="AM224" s="129" t="str">
        <f t="shared" si="15"/>
        <v>Remoto Leve</v>
      </c>
      <c r="AN224" s="129" t="s">
        <v>503</v>
      </c>
      <c r="AO224" s="131" t="s">
        <v>524</v>
      </c>
      <c r="AP224" s="132" t="s">
        <v>701</v>
      </c>
      <c r="AQ224" s="132" t="s">
        <v>855</v>
      </c>
      <c r="AR224" s="14"/>
      <c r="AS224" s="129" t="s">
        <v>388</v>
      </c>
      <c r="AZ224" s="117"/>
      <c r="BA224" s="117"/>
    </row>
    <row r="225" spans="35:53" ht="39.9" customHeight="1" x14ac:dyDescent="0.3">
      <c r="AI225" s="128" t="str">
        <f t="shared" si="14"/>
        <v>SKRH-RIP</v>
      </c>
      <c r="AJ225" s="129" t="s">
        <v>388</v>
      </c>
      <c r="AK225" s="129" t="s">
        <v>412</v>
      </c>
      <c r="AL225" s="130" t="s">
        <v>459</v>
      </c>
      <c r="AM225" s="129" t="str">
        <f t="shared" si="15"/>
        <v>Improbable Importante</v>
      </c>
      <c r="AN225" s="129" t="s">
        <v>505</v>
      </c>
      <c r="AO225" s="131" t="s">
        <v>526</v>
      </c>
      <c r="AP225" s="132" t="s">
        <v>701</v>
      </c>
      <c r="AQ225" s="132" t="s">
        <v>860</v>
      </c>
      <c r="AR225" s="14"/>
      <c r="AS225" s="129" t="s">
        <v>388</v>
      </c>
      <c r="AZ225" s="117"/>
      <c r="BA225" s="117"/>
    </row>
    <row r="226" spans="35:53" ht="39.9" customHeight="1" x14ac:dyDescent="0.3">
      <c r="AI226" s="128" t="str">
        <f t="shared" si="14"/>
        <v>SKRH-ALAR</v>
      </c>
      <c r="AJ226" s="129" t="s">
        <v>388</v>
      </c>
      <c r="AK226" s="129" t="s">
        <v>411</v>
      </c>
      <c r="AL226" s="130" t="s">
        <v>458</v>
      </c>
      <c r="AM226" s="129" t="str">
        <f t="shared" si="15"/>
        <v>Improbable Peligroso</v>
      </c>
      <c r="AN226" s="129" t="s">
        <v>506</v>
      </c>
      <c r="AO226" s="131" t="s">
        <v>525</v>
      </c>
      <c r="AP226" s="132" t="s">
        <v>701</v>
      </c>
      <c r="AQ226" s="132" t="s">
        <v>861</v>
      </c>
      <c r="AR226" s="14"/>
      <c r="AS226" s="129" t="s">
        <v>388</v>
      </c>
      <c r="AZ226" s="117"/>
      <c r="BA226" s="117"/>
    </row>
    <row r="227" spans="35:53" ht="39.9" customHeight="1" x14ac:dyDescent="0.3">
      <c r="AI227" s="121" t="str">
        <f t="shared" si="14"/>
        <v>SKSM-MACA</v>
      </c>
      <c r="AJ227" s="112" t="s">
        <v>360</v>
      </c>
      <c r="AK227" s="112" t="s">
        <v>406</v>
      </c>
      <c r="AL227" s="122" t="s">
        <v>457</v>
      </c>
      <c r="AM227" s="112" t="str">
        <f t="shared" si="15"/>
        <v>Improbable Catastrófico</v>
      </c>
      <c r="AN227" s="112" t="s">
        <v>498</v>
      </c>
      <c r="AO227" s="123" t="s">
        <v>525</v>
      </c>
      <c r="AP227" s="124" t="s">
        <v>701</v>
      </c>
      <c r="AQ227" s="124" t="s">
        <v>851</v>
      </c>
      <c r="AR227" s="14"/>
      <c r="AS227" s="112" t="s">
        <v>360</v>
      </c>
      <c r="AZ227" s="117"/>
      <c r="BA227" s="117"/>
    </row>
    <row r="228" spans="35:53" ht="39.9" customHeight="1" x14ac:dyDescent="0.3">
      <c r="AI228" s="121" t="str">
        <f t="shared" si="14"/>
        <v>SKSM-BASH</v>
      </c>
      <c r="AJ228" s="112" t="s">
        <v>360</v>
      </c>
      <c r="AK228" s="112" t="s">
        <v>407</v>
      </c>
      <c r="AL228" s="122" t="s">
        <v>444</v>
      </c>
      <c r="AM228" s="112" t="str">
        <f t="shared" si="15"/>
        <v>Ocasional Peligroso</v>
      </c>
      <c r="AN228" s="112" t="s">
        <v>499</v>
      </c>
      <c r="AO228" s="123" t="s">
        <v>531</v>
      </c>
      <c r="AP228" s="124" t="s">
        <v>677</v>
      </c>
      <c r="AQ228" s="124" t="s">
        <v>858</v>
      </c>
      <c r="AR228" s="14"/>
      <c r="AS228" s="112" t="s">
        <v>360</v>
      </c>
      <c r="AZ228" s="117"/>
      <c r="BA228" s="117"/>
    </row>
    <row r="229" spans="35:53" ht="39.9" customHeight="1" x14ac:dyDescent="0.3">
      <c r="AI229" s="121" t="str">
        <f t="shared" si="14"/>
        <v>SKSM-GAP</v>
      </c>
      <c r="AJ229" s="112" t="s">
        <v>360</v>
      </c>
      <c r="AK229" s="112" t="s">
        <v>408</v>
      </c>
      <c r="AL229" s="122" t="s">
        <v>454</v>
      </c>
      <c r="AM229" s="112" t="str">
        <f t="shared" si="15"/>
        <v>Remoto Leve</v>
      </c>
      <c r="AN229" s="112" t="s">
        <v>500</v>
      </c>
      <c r="AO229" s="123" t="s">
        <v>678</v>
      </c>
      <c r="AP229" s="124" t="s">
        <v>658</v>
      </c>
      <c r="AQ229" s="124" t="s">
        <v>859</v>
      </c>
      <c r="AR229" s="14"/>
      <c r="AS229" s="112" t="s">
        <v>360</v>
      </c>
      <c r="AZ229" s="117"/>
      <c r="BA229" s="117"/>
    </row>
    <row r="230" spans="35:53" ht="39.9" customHeight="1" x14ac:dyDescent="0.3">
      <c r="AI230" s="121" t="str">
        <f t="shared" si="14"/>
        <v>SKSM-CFIT</v>
      </c>
      <c r="AJ230" s="112" t="s">
        <v>360</v>
      </c>
      <c r="AK230" s="112" t="s">
        <v>409</v>
      </c>
      <c r="AL230" s="122" t="s">
        <v>457</v>
      </c>
      <c r="AM230" s="112" t="str">
        <f t="shared" si="15"/>
        <v>Improbable Catastrófico</v>
      </c>
      <c r="AN230" s="112" t="s">
        <v>501</v>
      </c>
      <c r="AO230" s="123" t="s">
        <v>680</v>
      </c>
      <c r="AP230" s="124" t="s">
        <v>679</v>
      </c>
      <c r="AQ230" s="124" t="s">
        <v>854</v>
      </c>
      <c r="AR230" s="14"/>
      <c r="AS230" s="112" t="s">
        <v>360</v>
      </c>
      <c r="AZ230" s="117"/>
      <c r="BA230" s="117"/>
    </row>
    <row r="231" spans="35:53" ht="39.9" customHeight="1" x14ac:dyDescent="0.3">
      <c r="AI231" s="121" t="str">
        <f t="shared" si="14"/>
        <v>SKSM-FOD</v>
      </c>
      <c r="AJ231" s="112" t="s">
        <v>360</v>
      </c>
      <c r="AK231" s="112" t="s">
        <v>410</v>
      </c>
      <c r="AL231" s="122" t="s">
        <v>454</v>
      </c>
      <c r="AM231" s="112" t="str">
        <f t="shared" si="15"/>
        <v>Remoto Leve</v>
      </c>
      <c r="AN231" s="112" t="s">
        <v>503</v>
      </c>
      <c r="AO231" s="123" t="s">
        <v>524</v>
      </c>
      <c r="AP231" s="124" t="s">
        <v>701</v>
      </c>
      <c r="AQ231" s="124" t="s">
        <v>855</v>
      </c>
      <c r="AR231" s="14"/>
      <c r="AS231" s="112" t="s">
        <v>360</v>
      </c>
      <c r="AZ231" s="117"/>
      <c r="BA231" s="117"/>
    </row>
    <row r="232" spans="35:53" ht="39.9" customHeight="1" x14ac:dyDescent="0.3">
      <c r="AI232" s="121" t="str">
        <f t="shared" si="14"/>
        <v>SKSM-RIP</v>
      </c>
      <c r="AJ232" s="112" t="s">
        <v>360</v>
      </c>
      <c r="AK232" s="112" t="s">
        <v>412</v>
      </c>
      <c r="AL232" s="122" t="s">
        <v>459</v>
      </c>
      <c r="AM232" s="112" t="str">
        <f t="shared" si="15"/>
        <v>Improbable Importante</v>
      </c>
      <c r="AN232" s="112" t="s">
        <v>505</v>
      </c>
      <c r="AO232" s="123" t="s">
        <v>526</v>
      </c>
      <c r="AP232" s="124" t="s">
        <v>701</v>
      </c>
      <c r="AQ232" s="124" t="s">
        <v>860</v>
      </c>
      <c r="AR232" s="14"/>
      <c r="AS232" s="112" t="s">
        <v>360</v>
      </c>
      <c r="AZ232" s="117"/>
      <c r="BA232" s="117"/>
    </row>
    <row r="233" spans="35:53" ht="39.9" customHeight="1" x14ac:dyDescent="0.3">
      <c r="AI233" s="121" t="str">
        <f t="shared" si="14"/>
        <v>SKSM-ALAR</v>
      </c>
      <c r="AJ233" s="112" t="s">
        <v>360</v>
      </c>
      <c r="AK233" s="112" t="s">
        <v>411</v>
      </c>
      <c r="AL233" s="122" t="s">
        <v>458</v>
      </c>
      <c r="AM233" s="112" t="str">
        <f t="shared" si="15"/>
        <v>Improbable Peligroso</v>
      </c>
      <c r="AN233" s="112" t="s">
        <v>506</v>
      </c>
      <c r="AO233" s="123" t="s">
        <v>525</v>
      </c>
      <c r="AP233" s="124" t="s">
        <v>681</v>
      </c>
      <c r="AQ233" s="124" t="s">
        <v>861</v>
      </c>
      <c r="AR233" s="14"/>
      <c r="AS233" s="112" t="s">
        <v>360</v>
      </c>
      <c r="AZ233" s="117"/>
      <c r="BA233" s="117"/>
    </row>
    <row r="234" spans="35:53" ht="39.9" customHeight="1" x14ac:dyDescent="0.3">
      <c r="AI234" s="128" t="str">
        <f t="shared" si="14"/>
        <v>SKTL-MACA</v>
      </c>
      <c r="AJ234" s="129" t="s">
        <v>362</v>
      </c>
      <c r="AK234" s="129" t="s">
        <v>406</v>
      </c>
      <c r="AL234" s="130" t="s">
        <v>451</v>
      </c>
      <c r="AM234" s="129" t="str">
        <f t="shared" si="15"/>
        <v>Remoto Catastrófico</v>
      </c>
      <c r="AN234" s="129" t="s">
        <v>498</v>
      </c>
      <c r="AO234" s="131" t="s">
        <v>682</v>
      </c>
      <c r="AP234" s="132" t="s">
        <v>683</v>
      </c>
      <c r="AQ234" s="132" t="s">
        <v>851</v>
      </c>
      <c r="AR234" s="14" t="s">
        <v>11</v>
      </c>
      <c r="AS234" s="129" t="s">
        <v>362</v>
      </c>
      <c r="AZ234" s="117"/>
      <c r="BA234" s="117"/>
    </row>
    <row r="235" spans="35:53" ht="39.9" customHeight="1" x14ac:dyDescent="0.3">
      <c r="AI235" s="128" t="str">
        <f t="shared" si="14"/>
        <v>SKTL-BASH</v>
      </c>
      <c r="AJ235" s="129" t="s">
        <v>362</v>
      </c>
      <c r="AK235" s="129" t="s">
        <v>407</v>
      </c>
      <c r="AL235" s="130" t="s">
        <v>444</v>
      </c>
      <c r="AM235" s="129" t="str">
        <f t="shared" si="15"/>
        <v>Ocasional Peligroso</v>
      </c>
      <c r="AN235" s="129" t="s">
        <v>499</v>
      </c>
      <c r="AO235" s="131" t="s">
        <v>684</v>
      </c>
      <c r="AP235" s="132" t="s">
        <v>550</v>
      </c>
      <c r="AQ235" s="132" t="s">
        <v>852</v>
      </c>
      <c r="AR235" s="14" t="s">
        <v>11</v>
      </c>
      <c r="AS235" s="129" t="s">
        <v>362</v>
      </c>
      <c r="AZ235" s="117"/>
      <c r="BA235" s="117"/>
    </row>
    <row r="236" spans="35:53" ht="39.9" customHeight="1" x14ac:dyDescent="0.3">
      <c r="AI236" s="128" t="str">
        <f t="shared" si="14"/>
        <v>SKTL-GAP</v>
      </c>
      <c r="AJ236" s="129" t="s">
        <v>362</v>
      </c>
      <c r="AK236" s="129" t="s">
        <v>408</v>
      </c>
      <c r="AL236" s="130" t="s">
        <v>460</v>
      </c>
      <c r="AM236" s="129" t="str">
        <f t="shared" si="15"/>
        <v>Improbable Leve</v>
      </c>
      <c r="AN236" s="129" t="s">
        <v>500</v>
      </c>
      <c r="AO236" s="131" t="s">
        <v>686</v>
      </c>
      <c r="AP236" s="132" t="s">
        <v>685</v>
      </c>
      <c r="AQ236" s="132" t="s">
        <v>853</v>
      </c>
      <c r="AR236" s="14" t="s">
        <v>11</v>
      </c>
      <c r="AS236" s="129" t="s">
        <v>362</v>
      </c>
      <c r="AZ236" s="117"/>
      <c r="BA236" s="117"/>
    </row>
    <row r="237" spans="35:53" ht="39.9" customHeight="1" x14ac:dyDescent="0.3">
      <c r="AI237" s="128" t="str">
        <f t="shared" si="14"/>
        <v>SKTL-CFIT</v>
      </c>
      <c r="AJ237" s="129" t="s">
        <v>362</v>
      </c>
      <c r="AK237" s="129" t="s">
        <v>409</v>
      </c>
      <c r="AL237" s="130" t="s">
        <v>457</v>
      </c>
      <c r="AM237" s="129" t="str">
        <f t="shared" si="15"/>
        <v>Improbable Catastrófico</v>
      </c>
      <c r="AN237" s="129" t="s">
        <v>501</v>
      </c>
      <c r="AO237" s="131" t="s">
        <v>687</v>
      </c>
      <c r="AP237" s="132" t="s">
        <v>688</v>
      </c>
      <c r="AQ237" s="132" t="s">
        <v>854</v>
      </c>
      <c r="AR237" s="14" t="s">
        <v>11</v>
      </c>
      <c r="AS237" s="129" t="s">
        <v>362</v>
      </c>
      <c r="AZ237" s="117"/>
      <c r="BA237" s="117"/>
    </row>
    <row r="238" spans="35:53" ht="39.9" customHeight="1" x14ac:dyDescent="0.3">
      <c r="AI238" s="128" t="str">
        <f t="shared" si="14"/>
        <v>SKTL-FOD</v>
      </c>
      <c r="AJ238" s="129" t="s">
        <v>362</v>
      </c>
      <c r="AK238" s="129" t="s">
        <v>410</v>
      </c>
      <c r="AL238" s="130" t="s">
        <v>446</v>
      </c>
      <c r="AM238" s="129" t="str">
        <f t="shared" si="15"/>
        <v>Ocasional Leve</v>
      </c>
      <c r="AN238" s="129" t="s">
        <v>503</v>
      </c>
      <c r="AO238" s="131" t="s">
        <v>546</v>
      </c>
      <c r="AP238" s="132" t="s">
        <v>701</v>
      </c>
      <c r="AQ238" s="132" t="s">
        <v>855</v>
      </c>
      <c r="AR238" s="14" t="s">
        <v>11</v>
      </c>
      <c r="AS238" s="129" t="s">
        <v>362</v>
      </c>
      <c r="AZ238" s="117"/>
      <c r="BA238" s="117"/>
    </row>
    <row r="239" spans="35:53" ht="39.9" customHeight="1" x14ac:dyDescent="0.3">
      <c r="AI239" s="128" t="str">
        <f t="shared" si="14"/>
        <v>SKTL-RIP</v>
      </c>
      <c r="AJ239" s="129" t="s">
        <v>362</v>
      </c>
      <c r="AK239" s="129" t="s">
        <v>412</v>
      </c>
      <c r="AL239" s="130" t="s">
        <v>445</v>
      </c>
      <c r="AM239" s="129" t="str">
        <f t="shared" si="15"/>
        <v>Ocasional Importante</v>
      </c>
      <c r="AN239" s="129" t="s">
        <v>505</v>
      </c>
      <c r="AO239" s="131" t="s">
        <v>555</v>
      </c>
      <c r="AP239" s="132" t="s">
        <v>556</v>
      </c>
      <c r="AQ239" s="132" t="s">
        <v>856</v>
      </c>
      <c r="AR239" s="14" t="s">
        <v>11</v>
      </c>
      <c r="AS239" s="129" t="s">
        <v>362</v>
      </c>
      <c r="AZ239" s="117"/>
      <c r="BA239" s="117"/>
    </row>
    <row r="240" spans="35:53" ht="39.9" customHeight="1" x14ac:dyDescent="0.3">
      <c r="AI240" s="128" t="str">
        <f t="shared" si="14"/>
        <v>SKTL-ALAR</v>
      </c>
      <c r="AJ240" s="129" t="s">
        <v>362</v>
      </c>
      <c r="AK240" s="129" t="s">
        <v>411</v>
      </c>
      <c r="AL240" s="130" t="s">
        <v>451</v>
      </c>
      <c r="AM240" s="129" t="str">
        <f t="shared" si="15"/>
        <v>Remoto Catastrófico</v>
      </c>
      <c r="AN240" s="129" t="s">
        <v>506</v>
      </c>
      <c r="AO240" s="131" t="s">
        <v>689</v>
      </c>
      <c r="AP240" s="132" t="s">
        <v>690</v>
      </c>
      <c r="AQ240" s="132" t="s">
        <v>857</v>
      </c>
      <c r="AR240" s="14" t="s">
        <v>11</v>
      </c>
      <c r="AS240" s="129" t="s">
        <v>362</v>
      </c>
      <c r="AZ240" s="117"/>
      <c r="BA240" s="117"/>
    </row>
    <row r="241" spans="35:53" ht="39.9" customHeight="1" x14ac:dyDescent="0.3">
      <c r="AI241" s="121" t="str">
        <f t="shared" si="14"/>
        <v>SKUL-MACA</v>
      </c>
      <c r="AJ241" s="112" t="s">
        <v>361</v>
      </c>
      <c r="AK241" s="112" t="s">
        <v>406</v>
      </c>
      <c r="AL241" s="122" t="s">
        <v>451</v>
      </c>
      <c r="AM241" s="112" t="str">
        <f t="shared" si="15"/>
        <v>Remoto Catastrófico</v>
      </c>
      <c r="AN241" s="112" t="s">
        <v>498</v>
      </c>
      <c r="AO241" s="123" t="s">
        <v>691</v>
      </c>
      <c r="AP241" s="124" t="s">
        <v>701</v>
      </c>
      <c r="AQ241" s="124" t="s">
        <v>851</v>
      </c>
      <c r="AR241" s="14" t="s">
        <v>11</v>
      </c>
      <c r="AS241" s="112" t="s">
        <v>361</v>
      </c>
      <c r="AZ241" s="117"/>
      <c r="BA241" s="117"/>
    </row>
    <row r="242" spans="35:53" ht="39.9" customHeight="1" x14ac:dyDescent="0.3">
      <c r="AI242" s="121" t="str">
        <f t="shared" si="14"/>
        <v>SKUL-BASH</v>
      </c>
      <c r="AJ242" s="112" t="s">
        <v>361</v>
      </c>
      <c r="AK242" s="112" t="s">
        <v>407</v>
      </c>
      <c r="AL242" s="122" t="s">
        <v>452</v>
      </c>
      <c r="AM242" s="112" t="str">
        <f t="shared" si="15"/>
        <v>Remoto Peligroso</v>
      </c>
      <c r="AN242" s="112" t="s">
        <v>499</v>
      </c>
      <c r="AO242" s="123" t="s">
        <v>692</v>
      </c>
      <c r="AP242" s="124" t="s">
        <v>645</v>
      </c>
      <c r="AQ242" s="124" t="s">
        <v>852</v>
      </c>
      <c r="AR242" s="14" t="s">
        <v>11</v>
      </c>
      <c r="AS242" s="112" t="s">
        <v>361</v>
      </c>
      <c r="AZ242" s="117"/>
      <c r="BA242" s="117"/>
    </row>
    <row r="243" spans="35:53" ht="39.9" customHeight="1" x14ac:dyDescent="0.3">
      <c r="AI243" s="121" t="str">
        <f t="shared" si="14"/>
        <v>SKUL-GAP</v>
      </c>
      <c r="AJ243" s="112" t="s">
        <v>361</v>
      </c>
      <c r="AK243" s="112" t="s">
        <v>408</v>
      </c>
      <c r="AL243" s="122" t="s">
        <v>454</v>
      </c>
      <c r="AM243" s="112" t="str">
        <f t="shared" si="15"/>
        <v>Remoto Leve</v>
      </c>
      <c r="AN243" s="112" t="s">
        <v>500</v>
      </c>
      <c r="AO243" s="123" t="s">
        <v>693</v>
      </c>
      <c r="AP243" s="124" t="s">
        <v>685</v>
      </c>
      <c r="AQ243" s="124" t="s">
        <v>853</v>
      </c>
      <c r="AR243" s="14" t="s">
        <v>11</v>
      </c>
      <c r="AS243" s="112" t="s">
        <v>361</v>
      </c>
      <c r="AZ243" s="117"/>
      <c r="BA243" s="117"/>
    </row>
    <row r="244" spans="35:53" ht="39.9" customHeight="1" x14ac:dyDescent="0.3">
      <c r="AI244" s="121" t="str">
        <f t="shared" si="14"/>
        <v>SKUL-CFIT</v>
      </c>
      <c r="AJ244" s="112" t="s">
        <v>361</v>
      </c>
      <c r="AK244" s="112" t="s">
        <v>409</v>
      </c>
      <c r="AL244" s="122" t="s">
        <v>457</v>
      </c>
      <c r="AM244" s="112" t="str">
        <f t="shared" si="15"/>
        <v>Improbable Catastrófico</v>
      </c>
      <c r="AN244" s="112" t="s">
        <v>501</v>
      </c>
      <c r="AO244" s="123" t="s">
        <v>547</v>
      </c>
      <c r="AP244" s="124" t="s">
        <v>701</v>
      </c>
      <c r="AQ244" s="124" t="s">
        <v>854</v>
      </c>
      <c r="AR244" s="14" t="s">
        <v>11</v>
      </c>
      <c r="AS244" s="112" t="s">
        <v>361</v>
      </c>
      <c r="AZ244" s="117"/>
      <c r="BA244" s="117"/>
    </row>
    <row r="245" spans="35:53" ht="39.9" customHeight="1" x14ac:dyDescent="0.3">
      <c r="AI245" s="121" t="str">
        <f t="shared" si="14"/>
        <v>SKUL-FOD</v>
      </c>
      <c r="AJ245" s="112" t="s">
        <v>361</v>
      </c>
      <c r="AK245" s="112" t="s">
        <v>410</v>
      </c>
      <c r="AL245" s="122" t="s">
        <v>454</v>
      </c>
      <c r="AM245" s="112" t="str">
        <f t="shared" si="15"/>
        <v>Remoto Leve</v>
      </c>
      <c r="AN245" s="112" t="s">
        <v>503</v>
      </c>
      <c r="AO245" s="123" t="s">
        <v>546</v>
      </c>
      <c r="AP245" s="124" t="s">
        <v>701</v>
      </c>
      <c r="AQ245" s="124" t="s">
        <v>855</v>
      </c>
      <c r="AR245" s="14" t="s">
        <v>11</v>
      </c>
      <c r="AS245" s="112" t="s">
        <v>361</v>
      </c>
      <c r="AZ245" s="117"/>
      <c r="BA245" s="117"/>
    </row>
    <row r="246" spans="35:53" ht="39.9" customHeight="1" x14ac:dyDescent="0.3">
      <c r="AI246" s="121" t="str">
        <f t="shared" si="14"/>
        <v>SKUL-RIP</v>
      </c>
      <c r="AJ246" s="112" t="s">
        <v>361</v>
      </c>
      <c r="AK246" s="112" t="s">
        <v>412</v>
      </c>
      <c r="AL246" s="122" t="s">
        <v>445</v>
      </c>
      <c r="AM246" s="112" t="str">
        <f t="shared" si="15"/>
        <v>Ocasional Importante</v>
      </c>
      <c r="AN246" s="112" t="s">
        <v>505</v>
      </c>
      <c r="AO246" s="123" t="s">
        <v>555</v>
      </c>
      <c r="AP246" s="124" t="s">
        <v>589</v>
      </c>
      <c r="AQ246" s="124" t="s">
        <v>856</v>
      </c>
      <c r="AR246" s="14" t="s">
        <v>11</v>
      </c>
      <c r="AS246" s="112" t="s">
        <v>361</v>
      </c>
      <c r="AZ246" s="117"/>
      <c r="BA246" s="117"/>
    </row>
    <row r="247" spans="35:53" ht="39.9" customHeight="1" x14ac:dyDescent="0.3">
      <c r="AI247" s="121" t="str">
        <f t="shared" si="14"/>
        <v>SKUL-ALAR</v>
      </c>
      <c r="AJ247" s="112" t="s">
        <v>361</v>
      </c>
      <c r="AK247" s="112" t="s">
        <v>411</v>
      </c>
      <c r="AL247" s="122" t="s">
        <v>451</v>
      </c>
      <c r="AM247" s="112" t="str">
        <f t="shared" si="15"/>
        <v>Remoto Catastrófico</v>
      </c>
      <c r="AN247" s="112" t="s">
        <v>506</v>
      </c>
      <c r="AO247" s="123" t="s">
        <v>570</v>
      </c>
      <c r="AP247" s="124" t="s">
        <v>694</v>
      </c>
      <c r="AQ247" s="124" t="s">
        <v>857</v>
      </c>
      <c r="AR247" s="14" t="s">
        <v>11</v>
      </c>
      <c r="AS247" s="112" t="s">
        <v>361</v>
      </c>
      <c r="AZ247" s="117"/>
      <c r="BA247" s="117"/>
    </row>
    <row r="248" spans="35:53" ht="39.9" customHeight="1" x14ac:dyDescent="0.3">
      <c r="AI248" s="128" t="str">
        <f t="shared" si="14"/>
        <v>SKVP-MACA</v>
      </c>
      <c r="AJ248" s="129" t="s">
        <v>387</v>
      </c>
      <c r="AK248" s="129" t="s">
        <v>406</v>
      </c>
      <c r="AL248" s="130" t="s">
        <v>451</v>
      </c>
      <c r="AM248" s="129" t="str">
        <f t="shared" si="15"/>
        <v>Remoto Catastrófico</v>
      </c>
      <c r="AN248" s="129" t="s">
        <v>498</v>
      </c>
      <c r="AO248" s="131" t="s">
        <v>695</v>
      </c>
      <c r="AP248" s="132" t="s">
        <v>573</v>
      </c>
      <c r="AQ248" s="132" t="s">
        <v>851</v>
      </c>
      <c r="AR248" s="14"/>
      <c r="AS248" s="129" t="s">
        <v>387</v>
      </c>
      <c r="AZ248" s="117"/>
      <c r="BA248" s="117"/>
    </row>
    <row r="249" spans="35:53" ht="39.9" customHeight="1" x14ac:dyDescent="0.3">
      <c r="AI249" s="128" t="str">
        <f t="shared" si="14"/>
        <v>SKVP-BASH</v>
      </c>
      <c r="AJ249" s="129" t="s">
        <v>387</v>
      </c>
      <c r="AK249" s="129" t="s">
        <v>407</v>
      </c>
      <c r="AL249" s="130" t="s">
        <v>444</v>
      </c>
      <c r="AM249" s="129" t="str">
        <f t="shared" si="15"/>
        <v>Ocasional Peligroso</v>
      </c>
      <c r="AN249" s="129" t="s">
        <v>499</v>
      </c>
      <c r="AO249" s="131" t="s">
        <v>697</v>
      </c>
      <c r="AP249" s="132" t="s">
        <v>696</v>
      </c>
      <c r="AQ249" s="132" t="s">
        <v>858</v>
      </c>
      <c r="AR249" s="14"/>
      <c r="AS249" s="129" t="s">
        <v>387</v>
      </c>
      <c r="AZ249" s="117"/>
      <c r="BA249" s="117"/>
    </row>
    <row r="250" spans="35:53" ht="39.9" customHeight="1" x14ac:dyDescent="0.3">
      <c r="AI250" s="128" t="str">
        <f t="shared" si="14"/>
        <v>SKVP-GAP</v>
      </c>
      <c r="AJ250" s="129" t="s">
        <v>387</v>
      </c>
      <c r="AK250" s="129" t="s">
        <v>408</v>
      </c>
      <c r="AL250" s="130" t="s">
        <v>460</v>
      </c>
      <c r="AM250" s="129" t="str">
        <f t="shared" si="15"/>
        <v>Improbable Leve</v>
      </c>
      <c r="AN250" s="129" t="s">
        <v>500</v>
      </c>
      <c r="AO250" s="131" t="s">
        <v>698</v>
      </c>
      <c r="AP250" s="132" t="s">
        <v>699</v>
      </c>
      <c r="AQ250" s="132" t="s">
        <v>859</v>
      </c>
      <c r="AR250" s="14"/>
      <c r="AS250" s="129" t="s">
        <v>387</v>
      </c>
      <c r="AZ250" s="117"/>
      <c r="BA250" s="117"/>
    </row>
    <row r="251" spans="35:53" ht="39.9" customHeight="1" x14ac:dyDescent="0.3">
      <c r="AI251" s="128" t="str">
        <f t="shared" si="14"/>
        <v>SKVP-CFIT</v>
      </c>
      <c r="AJ251" s="129" t="s">
        <v>387</v>
      </c>
      <c r="AK251" s="129" t="s">
        <v>409</v>
      </c>
      <c r="AL251" s="130" t="s">
        <v>457</v>
      </c>
      <c r="AM251" s="129" t="str">
        <f t="shared" si="15"/>
        <v>Improbable Catastrófico</v>
      </c>
      <c r="AN251" s="129" t="s">
        <v>501</v>
      </c>
      <c r="AO251" s="131" t="s">
        <v>586</v>
      </c>
      <c r="AP251" s="132" t="s">
        <v>587</v>
      </c>
      <c r="AQ251" s="132" t="s">
        <v>854</v>
      </c>
      <c r="AR251" s="14"/>
      <c r="AS251" s="129" t="s">
        <v>387</v>
      </c>
      <c r="AZ251" s="117"/>
      <c r="BA251" s="117"/>
    </row>
    <row r="252" spans="35:53" ht="39.9" customHeight="1" x14ac:dyDescent="0.3">
      <c r="AI252" s="128" t="str">
        <f t="shared" si="14"/>
        <v>SKVP-FOD</v>
      </c>
      <c r="AJ252" s="129" t="s">
        <v>387</v>
      </c>
      <c r="AK252" s="129" t="s">
        <v>410</v>
      </c>
      <c r="AL252" s="130" t="s">
        <v>460</v>
      </c>
      <c r="AM252" s="129" t="str">
        <f t="shared" si="15"/>
        <v>Improbable Leve</v>
      </c>
      <c r="AN252" s="129" t="s">
        <v>503</v>
      </c>
      <c r="AO252" s="131" t="s">
        <v>524</v>
      </c>
      <c r="AP252" s="132" t="s">
        <v>701</v>
      </c>
      <c r="AQ252" s="132" t="s">
        <v>855</v>
      </c>
      <c r="AR252" s="14"/>
      <c r="AS252" s="129" t="s">
        <v>387</v>
      </c>
      <c r="AZ252" s="117"/>
      <c r="BA252" s="117"/>
    </row>
    <row r="253" spans="35:53" ht="39.9" customHeight="1" x14ac:dyDescent="0.3">
      <c r="AI253" s="128" t="str">
        <f t="shared" ref="AI253:AI261" si="16">CONCATENATE(AJ253,"-",AK253)</f>
        <v>SKVP-RIP</v>
      </c>
      <c r="AJ253" s="129" t="s">
        <v>387</v>
      </c>
      <c r="AK253" s="129" t="s">
        <v>412</v>
      </c>
      <c r="AL253" s="130" t="s">
        <v>459</v>
      </c>
      <c r="AM253" s="129" t="str">
        <f t="shared" si="15"/>
        <v>Improbable Importante</v>
      </c>
      <c r="AN253" s="129" t="s">
        <v>505</v>
      </c>
      <c r="AO253" s="131" t="s">
        <v>548</v>
      </c>
      <c r="AP253" s="132" t="s">
        <v>701</v>
      </c>
      <c r="AQ253" s="132" t="s">
        <v>860</v>
      </c>
      <c r="AR253" s="14"/>
      <c r="AS253" s="129" t="s">
        <v>387</v>
      </c>
      <c r="AZ253" s="117"/>
      <c r="BA253" s="117"/>
    </row>
    <row r="254" spans="35:53" ht="39.9" customHeight="1" x14ac:dyDescent="0.3">
      <c r="AI254" s="128" t="str">
        <f t="shared" si="16"/>
        <v>SKVP-ALAR</v>
      </c>
      <c r="AJ254" s="129" t="s">
        <v>387</v>
      </c>
      <c r="AK254" s="129" t="s">
        <v>411</v>
      </c>
      <c r="AL254" s="130" t="s">
        <v>457</v>
      </c>
      <c r="AM254" s="129" t="str">
        <f t="shared" si="15"/>
        <v>Improbable Catastrófico</v>
      </c>
      <c r="AN254" s="129" t="s">
        <v>506</v>
      </c>
      <c r="AO254" s="131" t="s">
        <v>525</v>
      </c>
      <c r="AP254" s="132" t="s">
        <v>701</v>
      </c>
      <c r="AQ254" s="132" t="s">
        <v>861</v>
      </c>
      <c r="AR254" s="14"/>
      <c r="AS254" s="129" t="s">
        <v>387</v>
      </c>
    </row>
    <row r="255" spans="35:53" ht="39.9" customHeight="1" x14ac:dyDescent="0.3">
      <c r="AI255" s="121" t="str">
        <f>CONCATENATE(AJ255,"-",AK255)</f>
        <v>SKPR-MACA</v>
      </c>
      <c r="AJ255" s="112" t="s">
        <v>724</v>
      </c>
      <c r="AK255" s="112" t="s">
        <v>406</v>
      </c>
      <c r="AL255" s="122" t="s">
        <v>451</v>
      </c>
      <c r="AM255" s="112" t="str">
        <f t="shared" ref="AM255:AM261" si="17">VLOOKUP(AL255,$I$3:$O$27,7,FALSE)</f>
        <v>Remoto Catastrófico</v>
      </c>
      <c r="AN255" s="112" t="s">
        <v>498</v>
      </c>
      <c r="AO255" s="123" t="s">
        <v>691</v>
      </c>
      <c r="AP255" s="124" t="s">
        <v>701</v>
      </c>
      <c r="AQ255" s="124" t="s">
        <v>851</v>
      </c>
      <c r="AR255" s="14" t="s">
        <v>11</v>
      </c>
      <c r="AS255" s="112" t="s">
        <v>724</v>
      </c>
    </row>
    <row r="256" spans="35:53" ht="39.9" customHeight="1" x14ac:dyDescent="0.3">
      <c r="AI256" s="121" t="str">
        <f t="shared" si="16"/>
        <v>SKPR-BASH</v>
      </c>
      <c r="AJ256" s="112" t="s">
        <v>724</v>
      </c>
      <c r="AK256" s="112" t="s">
        <v>407</v>
      </c>
      <c r="AL256" s="122" t="s">
        <v>452</v>
      </c>
      <c r="AM256" s="112" t="str">
        <f t="shared" si="17"/>
        <v>Remoto Peligroso</v>
      </c>
      <c r="AN256" s="112" t="s">
        <v>499</v>
      </c>
      <c r="AO256" s="123" t="s">
        <v>692</v>
      </c>
      <c r="AP256" s="124" t="s">
        <v>645</v>
      </c>
      <c r="AQ256" s="124" t="s">
        <v>852</v>
      </c>
      <c r="AR256" s="14" t="s">
        <v>11</v>
      </c>
      <c r="AS256" s="112" t="s">
        <v>724</v>
      </c>
    </row>
    <row r="257" spans="35:45" ht="39.9" customHeight="1" x14ac:dyDescent="0.3">
      <c r="AI257" s="121" t="str">
        <f t="shared" si="16"/>
        <v>SKPR-GAP</v>
      </c>
      <c r="AJ257" s="112" t="s">
        <v>724</v>
      </c>
      <c r="AK257" s="112" t="s">
        <v>408</v>
      </c>
      <c r="AL257" s="122" t="s">
        <v>454</v>
      </c>
      <c r="AM257" s="112" t="str">
        <f t="shared" si="17"/>
        <v>Remoto Leve</v>
      </c>
      <c r="AN257" s="112" t="s">
        <v>500</v>
      </c>
      <c r="AO257" s="123" t="s">
        <v>693</v>
      </c>
      <c r="AP257" s="124" t="s">
        <v>685</v>
      </c>
      <c r="AQ257" s="124" t="s">
        <v>853</v>
      </c>
      <c r="AR257" s="14" t="s">
        <v>11</v>
      </c>
      <c r="AS257" s="112" t="s">
        <v>724</v>
      </c>
    </row>
    <row r="258" spans="35:45" ht="39.9" customHeight="1" x14ac:dyDescent="0.3">
      <c r="AI258" s="121" t="str">
        <f t="shared" si="16"/>
        <v>SKPR-CFIT</v>
      </c>
      <c r="AJ258" s="112" t="s">
        <v>724</v>
      </c>
      <c r="AK258" s="112" t="s">
        <v>409</v>
      </c>
      <c r="AL258" s="122" t="s">
        <v>457</v>
      </c>
      <c r="AM258" s="112" t="str">
        <f t="shared" si="17"/>
        <v>Improbable Catastrófico</v>
      </c>
      <c r="AN258" s="112" t="s">
        <v>501</v>
      </c>
      <c r="AO258" s="123" t="s">
        <v>725</v>
      </c>
      <c r="AP258" s="124" t="s">
        <v>701</v>
      </c>
      <c r="AQ258" s="124" t="s">
        <v>854</v>
      </c>
      <c r="AR258" s="14" t="s">
        <v>11</v>
      </c>
      <c r="AS258" s="112" t="s">
        <v>724</v>
      </c>
    </row>
    <row r="259" spans="35:45" ht="39.9" customHeight="1" x14ac:dyDescent="0.3">
      <c r="AI259" s="121" t="str">
        <f t="shared" si="16"/>
        <v>SKPR-FOD</v>
      </c>
      <c r="AJ259" s="112" t="s">
        <v>724</v>
      </c>
      <c r="AK259" s="112" t="s">
        <v>410</v>
      </c>
      <c r="AL259" s="122" t="s">
        <v>454</v>
      </c>
      <c r="AM259" s="112" t="str">
        <f t="shared" si="17"/>
        <v>Remoto Leve</v>
      </c>
      <c r="AN259" s="112" t="s">
        <v>503</v>
      </c>
      <c r="AO259" s="123" t="s">
        <v>546</v>
      </c>
      <c r="AP259" s="124" t="s">
        <v>701</v>
      </c>
      <c r="AQ259" s="124" t="s">
        <v>855</v>
      </c>
      <c r="AR259" s="14" t="s">
        <v>11</v>
      </c>
      <c r="AS259" s="112" t="s">
        <v>724</v>
      </c>
    </row>
    <row r="260" spans="35:45" ht="39.9" customHeight="1" x14ac:dyDescent="0.3">
      <c r="AI260" s="121" t="str">
        <f t="shared" si="16"/>
        <v>SKPR-RIP</v>
      </c>
      <c r="AJ260" s="112" t="s">
        <v>724</v>
      </c>
      <c r="AK260" s="112" t="s">
        <v>412</v>
      </c>
      <c r="AL260" s="122" t="s">
        <v>445</v>
      </c>
      <c r="AM260" s="112" t="str">
        <f t="shared" si="17"/>
        <v>Ocasional Importante</v>
      </c>
      <c r="AN260" s="112" t="s">
        <v>505</v>
      </c>
      <c r="AO260" s="123" t="s">
        <v>555</v>
      </c>
      <c r="AP260" s="124" t="s">
        <v>589</v>
      </c>
      <c r="AQ260" s="124" t="s">
        <v>856</v>
      </c>
      <c r="AR260" s="14" t="s">
        <v>11</v>
      </c>
      <c r="AS260" s="112" t="s">
        <v>724</v>
      </c>
    </row>
    <row r="261" spans="35:45" ht="39.9" customHeight="1" x14ac:dyDescent="0.3">
      <c r="AI261" s="121" t="str">
        <f t="shared" si="16"/>
        <v>SKPR-ALAR</v>
      </c>
      <c r="AJ261" s="112" t="s">
        <v>724</v>
      </c>
      <c r="AK261" s="112" t="s">
        <v>411</v>
      </c>
      <c r="AL261" s="122" t="s">
        <v>451</v>
      </c>
      <c r="AM261" s="112" t="str">
        <f t="shared" si="17"/>
        <v>Remoto Catastrófico</v>
      </c>
      <c r="AN261" s="112" t="s">
        <v>506</v>
      </c>
      <c r="AO261" s="123" t="s">
        <v>570</v>
      </c>
      <c r="AP261" s="124" t="s">
        <v>694</v>
      </c>
      <c r="AQ261" s="124" t="s">
        <v>857</v>
      </c>
      <c r="AR261" s="14" t="s">
        <v>11</v>
      </c>
      <c r="AS261" s="112" t="s">
        <v>724</v>
      </c>
    </row>
    <row r="262" spans="35:45" ht="39.9" hidden="1" customHeight="1" x14ac:dyDescent="0.3">
      <c r="AJ262" s="134"/>
      <c r="AK262" s="134"/>
      <c r="AL262" s="133"/>
      <c r="AM262" s="134"/>
      <c r="AN262" s="134"/>
      <c r="AO262" s="85"/>
      <c r="AP262" s="135"/>
      <c r="AQ262" s="135"/>
    </row>
    <row r="263" spans="35:45" ht="39.9" hidden="1" customHeight="1" x14ac:dyDescent="0.3">
      <c r="AJ263" s="134"/>
      <c r="AK263" s="134"/>
      <c r="AL263" s="133"/>
      <c r="AM263" s="134"/>
      <c r="AN263" s="134"/>
      <c r="AO263" s="85"/>
      <c r="AP263" s="135"/>
      <c r="AQ263" s="135"/>
    </row>
    <row r="264" spans="35:45" ht="39.9" hidden="1" customHeight="1" x14ac:dyDescent="0.3">
      <c r="AJ264" s="134"/>
      <c r="AK264" s="134"/>
      <c r="AL264" s="133"/>
      <c r="AM264" s="134"/>
      <c r="AN264" s="134"/>
      <c r="AO264" s="85"/>
      <c r="AP264" s="135"/>
      <c r="AQ264" s="135"/>
    </row>
    <row r="265" spans="35:45" ht="39.9" hidden="1" customHeight="1" x14ac:dyDescent="0.3">
      <c r="AJ265" s="134"/>
      <c r="AK265" s="134"/>
      <c r="AL265" s="133"/>
      <c r="AM265" s="134"/>
      <c r="AN265" s="134"/>
      <c r="AO265" s="85"/>
      <c r="AP265" s="135"/>
      <c r="AQ265" s="135"/>
    </row>
    <row r="266" spans="35:45" ht="39.9" hidden="1" customHeight="1" x14ac:dyDescent="0.3">
      <c r="AJ266" s="134"/>
      <c r="AK266" s="134"/>
      <c r="AL266" s="133"/>
      <c r="AM266" s="134"/>
      <c r="AN266" s="134"/>
      <c r="AO266" s="85"/>
      <c r="AP266" s="135"/>
      <c r="AQ266" s="135"/>
    </row>
    <row r="267" spans="35:45" ht="39.9" hidden="1" customHeight="1" x14ac:dyDescent="0.3">
      <c r="AJ267" s="134"/>
      <c r="AK267" s="134"/>
      <c r="AL267" s="133"/>
      <c r="AM267" s="134"/>
      <c r="AN267" s="134"/>
      <c r="AO267" s="85"/>
      <c r="AP267" s="135"/>
      <c r="AQ267" s="135"/>
    </row>
    <row r="268" spans="35:45" ht="39.9" hidden="1" customHeight="1" x14ac:dyDescent="0.3">
      <c r="AJ268" s="134"/>
      <c r="AK268" s="134"/>
      <c r="AL268" s="133"/>
      <c r="AM268" s="134"/>
      <c r="AN268" s="134"/>
      <c r="AO268" s="85"/>
      <c r="AP268" s="135"/>
      <c r="AQ268" s="135"/>
    </row>
    <row r="269" spans="35:45" ht="39.9" hidden="1" customHeight="1" x14ac:dyDescent="0.3">
      <c r="AJ269" s="134"/>
      <c r="AK269" s="134"/>
      <c r="AL269" s="133"/>
      <c r="AM269" s="134"/>
      <c r="AN269" s="134"/>
      <c r="AO269" s="85"/>
      <c r="AP269" s="135"/>
      <c r="AQ269" s="135"/>
    </row>
    <row r="270" spans="35:45" ht="39.9" hidden="1" customHeight="1" x14ac:dyDescent="0.3">
      <c r="AJ270" s="134"/>
      <c r="AK270" s="134"/>
      <c r="AL270" s="133"/>
      <c r="AM270" s="134"/>
      <c r="AN270" s="134"/>
      <c r="AO270" s="85"/>
      <c r="AP270" s="135"/>
      <c r="AQ270" s="135"/>
    </row>
    <row r="271" spans="35:45" ht="39.9" hidden="1" customHeight="1" x14ac:dyDescent="0.3">
      <c r="AJ271" s="134"/>
      <c r="AK271" s="134"/>
      <c r="AL271" s="133"/>
      <c r="AM271" s="134"/>
      <c r="AN271" s="134"/>
      <c r="AO271" s="85"/>
      <c r="AP271" s="135"/>
      <c r="AQ271" s="135"/>
    </row>
    <row r="272" spans="35:45" ht="39.9" hidden="1" customHeight="1" x14ac:dyDescent="0.3">
      <c r="AJ272" s="134"/>
      <c r="AK272" s="134"/>
      <c r="AL272" s="133"/>
      <c r="AM272" s="134"/>
      <c r="AN272" s="134"/>
      <c r="AO272" s="85"/>
      <c r="AP272" s="135"/>
      <c r="AQ272" s="135"/>
    </row>
    <row r="273" spans="36:43" ht="39.9" hidden="1" customHeight="1" x14ac:dyDescent="0.3">
      <c r="AJ273" s="134"/>
      <c r="AK273" s="134"/>
      <c r="AL273" s="133"/>
      <c r="AM273" s="134"/>
      <c r="AN273" s="134"/>
      <c r="AO273" s="85"/>
      <c r="AP273" s="135"/>
      <c r="AQ273" s="135"/>
    </row>
    <row r="274" spans="36:43" ht="39.9" hidden="1" customHeight="1" x14ac:dyDescent="0.3">
      <c r="AJ274" s="134"/>
      <c r="AK274" s="134"/>
      <c r="AL274" s="133"/>
      <c r="AM274" s="134"/>
      <c r="AN274" s="134"/>
      <c r="AO274" s="85"/>
      <c r="AP274" s="135"/>
      <c r="AQ274" s="135"/>
    </row>
    <row r="275" spans="36:43" ht="39.9" hidden="1" customHeight="1" x14ac:dyDescent="0.3">
      <c r="AJ275" s="134"/>
      <c r="AK275" s="134"/>
      <c r="AL275" s="133"/>
      <c r="AM275" s="134"/>
      <c r="AN275" s="134"/>
      <c r="AO275" s="85"/>
      <c r="AP275" s="135"/>
      <c r="AQ275" s="135"/>
    </row>
    <row r="276" spans="36:43" ht="39.9" hidden="1" customHeight="1" x14ac:dyDescent="0.3">
      <c r="AJ276" s="134"/>
      <c r="AK276" s="134"/>
      <c r="AL276" s="133"/>
      <c r="AM276" s="134"/>
      <c r="AN276" s="134"/>
      <c r="AO276" s="85"/>
      <c r="AP276" s="135"/>
      <c r="AQ276" s="135"/>
    </row>
    <row r="277" spans="36:43" ht="39.9" hidden="1" customHeight="1" x14ac:dyDescent="0.3">
      <c r="AJ277" s="134"/>
      <c r="AK277" s="134"/>
      <c r="AL277" s="133"/>
      <c r="AM277" s="134"/>
      <c r="AN277" s="134"/>
      <c r="AO277" s="85"/>
      <c r="AP277" s="135"/>
      <c r="AQ277" s="135"/>
    </row>
    <row r="278" spans="36:43" ht="39.9" hidden="1" customHeight="1" x14ac:dyDescent="0.3">
      <c r="AJ278" s="134"/>
      <c r="AK278" s="134"/>
      <c r="AL278" s="133"/>
      <c r="AM278" s="134"/>
      <c r="AN278" s="134"/>
      <c r="AO278" s="85"/>
      <c r="AP278" s="135"/>
      <c r="AQ278" s="135"/>
    </row>
    <row r="279" spans="36:43" ht="39.9" hidden="1" customHeight="1" x14ac:dyDescent="0.3">
      <c r="AJ279" s="134"/>
      <c r="AK279" s="134"/>
      <c r="AL279" s="133"/>
      <c r="AM279" s="134"/>
      <c r="AN279" s="134"/>
      <c r="AO279" s="85"/>
      <c r="AP279" s="135"/>
      <c r="AQ279" s="135"/>
    </row>
    <row r="280" spans="36:43" ht="39.9" hidden="1" customHeight="1" x14ac:dyDescent="0.3">
      <c r="AJ280" s="134"/>
      <c r="AK280" s="134"/>
      <c r="AL280" s="133"/>
      <c r="AM280" s="134"/>
      <c r="AN280" s="134"/>
      <c r="AO280" s="85"/>
      <c r="AP280" s="135"/>
      <c r="AQ280" s="135"/>
    </row>
    <row r="281" spans="36:43" ht="39.9" hidden="1" customHeight="1" x14ac:dyDescent="0.3">
      <c r="AJ281" s="134"/>
      <c r="AK281" s="134"/>
      <c r="AL281" s="133"/>
      <c r="AM281" s="134"/>
      <c r="AN281" s="134"/>
      <c r="AO281" s="85"/>
      <c r="AP281" s="135"/>
      <c r="AQ281" s="135"/>
    </row>
    <row r="282" spans="36:43" ht="39.9" hidden="1" customHeight="1" x14ac:dyDescent="0.3">
      <c r="AJ282" s="134"/>
      <c r="AK282" s="134"/>
      <c r="AL282" s="133"/>
      <c r="AM282" s="134"/>
      <c r="AN282" s="134"/>
      <c r="AO282" s="85"/>
      <c r="AP282" s="135"/>
      <c r="AQ282" s="135"/>
    </row>
    <row r="283" spans="36:43" ht="39.9" hidden="1" customHeight="1" x14ac:dyDescent="0.3">
      <c r="AJ283" s="134"/>
      <c r="AK283" s="134"/>
      <c r="AL283" s="133"/>
      <c r="AM283" s="134"/>
      <c r="AN283" s="134"/>
      <c r="AO283" s="85"/>
      <c r="AP283" s="135"/>
      <c r="AQ283" s="135"/>
    </row>
    <row r="284" spans="36:43" ht="39.9" hidden="1" customHeight="1" x14ac:dyDescent="0.3">
      <c r="AJ284" s="134"/>
      <c r="AK284" s="134"/>
      <c r="AL284" s="133"/>
      <c r="AM284" s="134"/>
      <c r="AN284" s="134"/>
      <c r="AO284" s="85"/>
      <c r="AP284" s="135"/>
      <c r="AQ284" s="135"/>
    </row>
    <row r="285" spans="36:43" ht="39.9" hidden="1" customHeight="1" x14ac:dyDescent="0.3">
      <c r="AJ285" s="134"/>
      <c r="AK285" s="134"/>
      <c r="AL285" s="133"/>
      <c r="AM285" s="134"/>
      <c r="AN285" s="134"/>
      <c r="AO285" s="85"/>
      <c r="AP285" s="135"/>
      <c r="AQ285" s="135"/>
    </row>
    <row r="286" spans="36:43" ht="39.9" hidden="1" customHeight="1" x14ac:dyDescent="0.3">
      <c r="AJ286" s="134"/>
      <c r="AK286" s="134"/>
      <c r="AL286" s="133"/>
      <c r="AM286" s="134"/>
      <c r="AN286" s="134"/>
      <c r="AO286" s="85"/>
      <c r="AP286" s="135"/>
      <c r="AQ286" s="135"/>
    </row>
    <row r="287" spans="36:43" ht="39.9" hidden="1" customHeight="1" x14ac:dyDescent="0.3">
      <c r="AJ287" s="134"/>
      <c r="AK287" s="134"/>
      <c r="AL287" s="133"/>
      <c r="AM287" s="134"/>
      <c r="AN287" s="134"/>
      <c r="AO287" s="85"/>
      <c r="AP287" s="135"/>
      <c r="AQ287" s="135"/>
    </row>
    <row r="288" spans="36:43" ht="39.9" hidden="1" customHeight="1" x14ac:dyDescent="0.3">
      <c r="AJ288" s="134"/>
      <c r="AK288" s="134"/>
      <c r="AL288" s="133"/>
      <c r="AM288" s="134"/>
      <c r="AN288" s="134"/>
      <c r="AO288" s="85"/>
      <c r="AP288" s="135"/>
      <c r="AQ288" s="135"/>
    </row>
    <row r="289" spans="36:43" ht="39.9" hidden="1" customHeight="1" x14ac:dyDescent="0.3">
      <c r="AJ289" s="134"/>
      <c r="AK289" s="134"/>
      <c r="AL289" s="133"/>
      <c r="AM289" s="134"/>
      <c r="AN289" s="134"/>
      <c r="AO289" s="85"/>
      <c r="AP289" s="135"/>
      <c r="AQ289" s="135"/>
    </row>
    <row r="290" spans="36:43" ht="39.9" hidden="1" customHeight="1" x14ac:dyDescent="0.3">
      <c r="AJ290" s="134"/>
      <c r="AK290" s="134"/>
      <c r="AL290" s="133"/>
      <c r="AM290" s="134"/>
      <c r="AN290" s="134"/>
      <c r="AO290" s="85"/>
      <c r="AP290" s="135"/>
      <c r="AQ290" s="135"/>
    </row>
    <row r="291" spans="36:43" ht="39.9" hidden="1" customHeight="1" x14ac:dyDescent="0.3">
      <c r="AJ291" s="134"/>
      <c r="AK291" s="134"/>
      <c r="AL291" s="133"/>
      <c r="AM291" s="134"/>
      <c r="AN291" s="134"/>
      <c r="AO291" s="85"/>
      <c r="AP291" s="135"/>
      <c r="AQ291" s="135"/>
    </row>
    <row r="292" spans="36:43" ht="39.9" hidden="1" customHeight="1" x14ac:dyDescent="0.3">
      <c r="AJ292" s="134"/>
      <c r="AK292" s="134"/>
      <c r="AL292" s="133"/>
      <c r="AM292" s="134"/>
      <c r="AN292" s="134"/>
      <c r="AO292" s="85"/>
      <c r="AP292" s="135"/>
      <c r="AQ292" s="135"/>
    </row>
    <row r="293" spans="36:43" ht="39.9" hidden="1" customHeight="1" x14ac:dyDescent="0.3">
      <c r="AJ293" s="134"/>
      <c r="AK293" s="134"/>
      <c r="AL293" s="133"/>
      <c r="AM293" s="134"/>
      <c r="AN293" s="134"/>
      <c r="AO293" s="85"/>
      <c r="AP293" s="135"/>
      <c r="AQ293" s="135"/>
    </row>
    <row r="294" spans="36:43" ht="39.9" hidden="1" customHeight="1" x14ac:dyDescent="0.3">
      <c r="AJ294" s="134"/>
      <c r="AK294" s="134"/>
      <c r="AL294" s="133"/>
      <c r="AM294" s="134"/>
      <c r="AN294" s="134"/>
      <c r="AO294" s="85"/>
      <c r="AP294" s="135"/>
      <c r="AQ294" s="135"/>
    </row>
    <row r="295" spans="36:43" ht="39.9" hidden="1" customHeight="1" x14ac:dyDescent="0.3">
      <c r="AJ295" s="134"/>
      <c r="AK295" s="134"/>
      <c r="AL295" s="133"/>
      <c r="AM295" s="134"/>
      <c r="AN295" s="134"/>
      <c r="AO295" s="85"/>
      <c r="AP295" s="135"/>
      <c r="AQ295" s="135"/>
    </row>
    <row r="296" spans="36:43" ht="39.9" hidden="1" customHeight="1" x14ac:dyDescent="0.3">
      <c r="AJ296" s="134"/>
      <c r="AK296" s="134"/>
      <c r="AL296" s="133"/>
      <c r="AM296" s="134"/>
      <c r="AN296" s="134"/>
      <c r="AO296" s="85"/>
      <c r="AP296" s="135"/>
      <c r="AQ296" s="135"/>
    </row>
    <row r="297" spans="36:43" ht="39.9" hidden="1" customHeight="1" x14ac:dyDescent="0.3">
      <c r="AJ297" s="134"/>
      <c r="AK297" s="134"/>
      <c r="AL297" s="133"/>
      <c r="AM297" s="134"/>
      <c r="AN297" s="134"/>
      <c r="AO297" s="85"/>
      <c r="AP297" s="135"/>
      <c r="AQ297" s="135"/>
    </row>
    <row r="298" spans="36:43" ht="39.9" hidden="1" customHeight="1" x14ac:dyDescent="0.3">
      <c r="AJ298" s="134"/>
      <c r="AK298" s="134"/>
      <c r="AL298" s="133"/>
      <c r="AM298" s="134"/>
      <c r="AN298" s="134"/>
      <c r="AO298" s="85"/>
      <c r="AP298" s="135"/>
      <c r="AQ298" s="135"/>
    </row>
    <row r="299" spans="36:43" ht="39.9" hidden="1" customHeight="1" x14ac:dyDescent="0.3">
      <c r="AJ299" s="134"/>
      <c r="AK299" s="134"/>
      <c r="AL299" s="133"/>
      <c r="AM299" s="134"/>
      <c r="AN299" s="134"/>
      <c r="AO299" s="85"/>
      <c r="AP299" s="135"/>
      <c r="AQ299" s="135"/>
    </row>
    <row r="300" spans="36:43" ht="39.9" hidden="1" customHeight="1" x14ac:dyDescent="0.3">
      <c r="AJ300" s="134"/>
      <c r="AK300" s="134"/>
      <c r="AL300" s="133"/>
      <c r="AM300" s="134"/>
      <c r="AN300" s="134"/>
      <c r="AO300" s="85"/>
      <c r="AP300" s="135"/>
      <c r="AQ300" s="135"/>
    </row>
    <row r="301" spans="36:43" ht="39.9" hidden="1" customHeight="1" x14ac:dyDescent="0.3">
      <c r="AJ301" s="134"/>
      <c r="AK301" s="134"/>
      <c r="AL301" s="133"/>
      <c r="AM301" s="134"/>
      <c r="AN301" s="134"/>
      <c r="AO301" s="85"/>
      <c r="AP301" s="135"/>
      <c r="AQ301" s="135"/>
    </row>
    <row r="302" spans="36:43" ht="39.9" hidden="1" customHeight="1" x14ac:dyDescent="0.3">
      <c r="AJ302" s="134"/>
      <c r="AK302" s="134"/>
      <c r="AL302" s="133"/>
      <c r="AM302" s="134"/>
      <c r="AN302" s="134"/>
      <c r="AO302" s="85"/>
      <c r="AP302" s="135"/>
      <c r="AQ302" s="135"/>
    </row>
    <row r="303" spans="36:43" ht="39.9" hidden="1" customHeight="1" x14ac:dyDescent="0.3">
      <c r="AJ303" s="134"/>
      <c r="AK303" s="134"/>
      <c r="AL303" s="133"/>
      <c r="AM303" s="134"/>
      <c r="AN303" s="134"/>
      <c r="AO303" s="85"/>
      <c r="AP303" s="135"/>
      <c r="AQ303" s="135"/>
    </row>
    <row r="304" spans="36:43" ht="39.9" hidden="1" customHeight="1" x14ac:dyDescent="0.3">
      <c r="AJ304" s="134"/>
      <c r="AK304" s="134"/>
      <c r="AL304" s="133"/>
      <c r="AM304" s="134"/>
      <c r="AN304" s="134"/>
      <c r="AO304" s="85"/>
      <c r="AP304" s="135"/>
      <c r="AQ304" s="135"/>
    </row>
    <row r="305" spans="36:43" ht="39.9" hidden="1" customHeight="1" x14ac:dyDescent="0.3">
      <c r="AJ305" s="134"/>
      <c r="AK305" s="134"/>
      <c r="AL305" s="133"/>
      <c r="AM305" s="134"/>
      <c r="AN305" s="134"/>
      <c r="AO305" s="85"/>
      <c r="AP305" s="135"/>
      <c r="AQ305" s="135"/>
    </row>
    <row r="306" spans="36:43" ht="39.9" hidden="1" customHeight="1" x14ac:dyDescent="0.3">
      <c r="AJ306" s="134"/>
      <c r="AK306" s="134"/>
      <c r="AL306" s="133"/>
      <c r="AM306" s="134"/>
      <c r="AN306" s="134"/>
      <c r="AO306" s="85"/>
      <c r="AP306" s="135"/>
      <c r="AQ306" s="135"/>
    </row>
    <row r="307" spans="36:43" ht="39.9" hidden="1" customHeight="1" x14ac:dyDescent="0.3">
      <c r="AJ307" s="134"/>
      <c r="AK307" s="134"/>
      <c r="AL307" s="133"/>
      <c r="AM307" s="134"/>
      <c r="AN307" s="134"/>
      <c r="AO307" s="85"/>
      <c r="AP307" s="135"/>
      <c r="AQ307" s="135"/>
    </row>
    <row r="308" spans="36:43" ht="39.9" hidden="1" customHeight="1" x14ac:dyDescent="0.3">
      <c r="AJ308" s="134"/>
      <c r="AK308" s="134"/>
      <c r="AL308" s="133"/>
      <c r="AM308" s="134"/>
      <c r="AN308" s="134"/>
      <c r="AO308" s="85"/>
      <c r="AP308" s="135"/>
      <c r="AQ308" s="135"/>
    </row>
    <row r="309" spans="36:43" ht="39.9" hidden="1" customHeight="1" x14ac:dyDescent="0.3">
      <c r="AJ309" s="134"/>
      <c r="AK309" s="134"/>
      <c r="AL309" s="133"/>
      <c r="AM309" s="134"/>
      <c r="AN309" s="134"/>
      <c r="AO309" s="85"/>
      <c r="AP309" s="135"/>
      <c r="AQ309" s="135"/>
    </row>
    <row r="310" spans="36:43" ht="39.9" hidden="1" customHeight="1" x14ac:dyDescent="0.3">
      <c r="AJ310" s="134"/>
      <c r="AK310" s="134"/>
      <c r="AL310" s="133"/>
      <c r="AM310" s="134"/>
      <c r="AN310" s="134"/>
      <c r="AO310" s="85"/>
      <c r="AP310" s="135"/>
      <c r="AQ310" s="135"/>
    </row>
    <row r="311" spans="36:43" ht="39.9" hidden="1" customHeight="1" x14ac:dyDescent="0.3">
      <c r="AJ311" s="134"/>
      <c r="AK311" s="134"/>
      <c r="AL311" s="133"/>
      <c r="AM311" s="134"/>
      <c r="AN311" s="134"/>
      <c r="AO311" s="85"/>
      <c r="AP311" s="135"/>
      <c r="AQ311" s="135"/>
    </row>
    <row r="312" spans="36:43" ht="39.9" hidden="1" customHeight="1" x14ac:dyDescent="0.3">
      <c r="AJ312" s="134"/>
      <c r="AK312" s="134"/>
      <c r="AL312" s="133"/>
      <c r="AM312" s="134"/>
      <c r="AN312" s="134"/>
      <c r="AO312" s="85"/>
      <c r="AP312" s="135"/>
      <c r="AQ312" s="135"/>
    </row>
    <row r="313" spans="36:43" ht="39.9" hidden="1" customHeight="1" x14ac:dyDescent="0.3">
      <c r="AJ313" s="134"/>
      <c r="AK313" s="134"/>
      <c r="AL313" s="133"/>
      <c r="AM313" s="134"/>
      <c r="AN313" s="134"/>
      <c r="AO313" s="85"/>
      <c r="AP313" s="135"/>
      <c r="AQ313" s="135"/>
    </row>
    <row r="314" spans="36:43" ht="39.9" hidden="1" customHeight="1" x14ac:dyDescent="0.3">
      <c r="AJ314" s="134"/>
      <c r="AK314" s="134"/>
      <c r="AL314" s="133"/>
      <c r="AM314" s="134"/>
      <c r="AN314" s="134"/>
      <c r="AO314" s="85"/>
      <c r="AP314" s="135"/>
      <c r="AQ314" s="135"/>
    </row>
    <row r="315" spans="36:43" ht="39.9" hidden="1" customHeight="1" x14ac:dyDescent="0.3">
      <c r="AJ315" s="134"/>
      <c r="AK315" s="134"/>
      <c r="AL315" s="133"/>
      <c r="AM315" s="134"/>
      <c r="AN315" s="134"/>
      <c r="AO315" s="85"/>
      <c r="AP315" s="135"/>
      <c r="AQ315" s="135"/>
    </row>
    <row r="316" spans="36:43" ht="39.9" hidden="1" customHeight="1" x14ac:dyDescent="0.3">
      <c r="AJ316" s="134"/>
      <c r="AK316" s="134"/>
      <c r="AL316" s="133"/>
      <c r="AM316" s="134"/>
      <c r="AN316" s="134"/>
      <c r="AO316" s="85"/>
      <c r="AP316" s="135"/>
      <c r="AQ316" s="135"/>
    </row>
    <row r="317" spans="36:43" ht="39.9" hidden="1" customHeight="1" x14ac:dyDescent="0.3">
      <c r="AJ317" s="134"/>
      <c r="AK317" s="134"/>
      <c r="AL317" s="133"/>
      <c r="AM317" s="134"/>
      <c r="AN317" s="134"/>
      <c r="AO317" s="85"/>
      <c r="AP317" s="135"/>
      <c r="AQ317" s="135"/>
    </row>
    <row r="318" spans="36:43" ht="39.9" hidden="1" customHeight="1" x14ac:dyDescent="0.3">
      <c r="AJ318" s="134"/>
      <c r="AK318" s="134"/>
      <c r="AL318" s="133"/>
      <c r="AM318" s="134"/>
      <c r="AN318" s="134"/>
      <c r="AO318" s="85"/>
      <c r="AP318" s="135"/>
      <c r="AQ318" s="135"/>
    </row>
    <row r="319" spans="36:43" ht="39.9" hidden="1" customHeight="1" x14ac:dyDescent="0.3">
      <c r="AJ319" s="134"/>
      <c r="AK319" s="134"/>
      <c r="AL319" s="133"/>
      <c r="AM319" s="134"/>
      <c r="AN319" s="134"/>
      <c r="AO319" s="85"/>
      <c r="AP319" s="135"/>
      <c r="AQ319" s="135"/>
    </row>
    <row r="320" spans="36:43" ht="39.9" hidden="1" customHeight="1" x14ac:dyDescent="0.3">
      <c r="AJ320" s="134"/>
      <c r="AK320" s="134"/>
      <c r="AL320" s="133"/>
      <c r="AM320" s="134"/>
      <c r="AN320" s="134"/>
      <c r="AO320" s="85"/>
      <c r="AP320" s="135"/>
      <c r="AQ320" s="135"/>
    </row>
    <row r="321" spans="36:43" ht="39.9" hidden="1" customHeight="1" x14ac:dyDescent="0.3">
      <c r="AJ321" s="134"/>
      <c r="AK321" s="134"/>
      <c r="AL321" s="133"/>
      <c r="AM321" s="134"/>
      <c r="AN321" s="134"/>
      <c r="AO321" s="85"/>
      <c r="AP321" s="135"/>
      <c r="AQ321" s="135"/>
    </row>
    <row r="322" spans="36:43" ht="39.9" hidden="1" customHeight="1" x14ac:dyDescent="0.3">
      <c r="AJ322" s="134"/>
      <c r="AK322" s="134"/>
      <c r="AL322" s="133"/>
      <c r="AM322" s="134"/>
      <c r="AN322" s="134"/>
      <c r="AO322" s="85"/>
      <c r="AP322" s="135"/>
      <c r="AQ322" s="135"/>
    </row>
    <row r="323" spans="36:43" ht="39.9" hidden="1" customHeight="1" x14ac:dyDescent="0.3">
      <c r="AJ323" s="134"/>
      <c r="AK323" s="134"/>
      <c r="AL323" s="133"/>
      <c r="AM323" s="134"/>
      <c r="AN323" s="134"/>
      <c r="AO323" s="85"/>
      <c r="AP323" s="135"/>
      <c r="AQ323" s="135"/>
    </row>
    <row r="324" spans="36:43" ht="39.9" hidden="1" customHeight="1" x14ac:dyDescent="0.3">
      <c r="AJ324" s="134"/>
      <c r="AK324" s="134"/>
      <c r="AL324" s="133"/>
      <c r="AM324" s="134"/>
      <c r="AN324" s="134"/>
      <c r="AO324" s="85"/>
      <c r="AP324" s="135"/>
      <c r="AQ324" s="135"/>
    </row>
    <row r="325" spans="36:43" ht="39.9" hidden="1" customHeight="1" x14ac:dyDescent="0.3">
      <c r="AJ325" s="134"/>
      <c r="AK325" s="134"/>
      <c r="AL325" s="133"/>
      <c r="AM325" s="134"/>
      <c r="AN325" s="134"/>
      <c r="AO325" s="85"/>
      <c r="AP325" s="135"/>
      <c r="AQ325" s="135"/>
    </row>
    <row r="326" spans="36:43" ht="39.9" hidden="1" customHeight="1" x14ac:dyDescent="0.3">
      <c r="AJ326" s="134"/>
      <c r="AK326" s="134"/>
      <c r="AL326" s="133"/>
      <c r="AM326" s="134"/>
      <c r="AN326" s="134"/>
      <c r="AO326" s="85"/>
      <c r="AP326" s="135"/>
      <c r="AQ326" s="135"/>
    </row>
    <row r="327" spans="36:43" ht="39.9" hidden="1" customHeight="1" x14ac:dyDescent="0.3">
      <c r="AJ327" s="134"/>
      <c r="AK327" s="134"/>
      <c r="AL327" s="133"/>
      <c r="AM327" s="134"/>
      <c r="AN327" s="134"/>
      <c r="AO327" s="85"/>
      <c r="AP327" s="135"/>
      <c r="AQ327" s="135"/>
    </row>
    <row r="328" spans="36:43" ht="39.9" hidden="1" customHeight="1" x14ac:dyDescent="0.3">
      <c r="AJ328" s="134"/>
      <c r="AK328" s="134"/>
      <c r="AL328" s="133"/>
      <c r="AM328" s="134"/>
      <c r="AN328" s="134"/>
      <c r="AO328" s="85"/>
      <c r="AP328" s="135"/>
      <c r="AQ328" s="135"/>
    </row>
    <row r="329" spans="36:43" ht="39.9" hidden="1" customHeight="1" x14ac:dyDescent="0.3">
      <c r="AJ329" s="134"/>
      <c r="AK329" s="134"/>
      <c r="AL329" s="133"/>
      <c r="AM329" s="134"/>
      <c r="AN329" s="134"/>
      <c r="AO329" s="85"/>
      <c r="AP329" s="135"/>
      <c r="AQ329" s="135"/>
    </row>
    <row r="330" spans="36:43" ht="39.9" hidden="1" customHeight="1" x14ac:dyDescent="0.3">
      <c r="AJ330" s="134"/>
      <c r="AK330" s="134"/>
      <c r="AL330" s="133"/>
      <c r="AM330" s="134"/>
      <c r="AN330" s="134"/>
      <c r="AO330" s="85"/>
      <c r="AP330" s="135"/>
      <c r="AQ330" s="135"/>
    </row>
    <row r="331" spans="36:43" ht="39.9" hidden="1" customHeight="1" x14ac:dyDescent="0.3">
      <c r="AJ331" s="134"/>
      <c r="AK331" s="134"/>
      <c r="AL331" s="133"/>
      <c r="AM331" s="134"/>
      <c r="AN331" s="134"/>
      <c r="AO331" s="85"/>
      <c r="AP331" s="135"/>
      <c r="AQ331" s="135"/>
    </row>
    <row r="332" spans="36:43" ht="39.9" hidden="1" customHeight="1" x14ac:dyDescent="0.3">
      <c r="AJ332" s="134"/>
      <c r="AK332" s="134"/>
      <c r="AL332" s="133"/>
      <c r="AM332" s="134"/>
      <c r="AN332" s="134"/>
      <c r="AO332" s="85"/>
      <c r="AP332" s="135"/>
      <c r="AQ332" s="135"/>
    </row>
    <row r="333" spans="36:43" ht="39.9" hidden="1" customHeight="1" x14ac:dyDescent="0.3">
      <c r="AJ333" s="134"/>
      <c r="AK333" s="134"/>
      <c r="AL333" s="133"/>
      <c r="AM333" s="134"/>
      <c r="AN333" s="134"/>
      <c r="AO333" s="85"/>
      <c r="AP333" s="135"/>
      <c r="AQ333" s="135"/>
    </row>
    <row r="334" spans="36:43" ht="39.9" hidden="1" customHeight="1" x14ac:dyDescent="0.3">
      <c r="AJ334" s="134"/>
      <c r="AK334" s="134"/>
      <c r="AL334" s="133"/>
      <c r="AM334" s="134"/>
      <c r="AN334" s="134"/>
      <c r="AO334" s="85"/>
      <c r="AP334" s="135"/>
      <c r="AQ334" s="135"/>
    </row>
    <row r="335" spans="36:43" ht="39.9" hidden="1" customHeight="1" x14ac:dyDescent="0.3">
      <c r="AJ335" s="134"/>
      <c r="AK335" s="134"/>
      <c r="AL335" s="133"/>
      <c r="AM335" s="134"/>
      <c r="AN335" s="134"/>
      <c r="AO335" s="85"/>
      <c r="AP335" s="135"/>
      <c r="AQ335" s="135"/>
    </row>
    <row r="336" spans="36:43" ht="39.9" hidden="1" customHeight="1" x14ac:dyDescent="0.3">
      <c r="AJ336" s="134"/>
      <c r="AK336" s="134"/>
      <c r="AL336" s="133"/>
      <c r="AM336" s="134"/>
      <c r="AN336" s="134"/>
      <c r="AO336" s="85"/>
      <c r="AP336" s="135"/>
      <c r="AQ336" s="135"/>
    </row>
    <row r="337" spans="36:43" ht="39.9" hidden="1" customHeight="1" x14ac:dyDescent="0.3">
      <c r="AJ337" s="134"/>
      <c r="AK337" s="134"/>
      <c r="AL337" s="133"/>
      <c r="AM337" s="134"/>
      <c r="AN337" s="134"/>
      <c r="AO337" s="85"/>
      <c r="AP337" s="135"/>
      <c r="AQ337" s="135"/>
    </row>
    <row r="338" spans="36:43" ht="39.9" hidden="1" customHeight="1" x14ac:dyDescent="0.3">
      <c r="AJ338" s="134"/>
      <c r="AK338" s="134"/>
      <c r="AL338" s="133"/>
      <c r="AM338" s="134"/>
      <c r="AN338" s="134"/>
      <c r="AO338" s="85"/>
      <c r="AP338" s="135"/>
      <c r="AQ338" s="135"/>
    </row>
  </sheetData>
  <sheetProtection algorithmName="SHA-512" hashValue="t2x3br2pEP/NuC7cqeBzYooTROZWv43CevAfMfy8SLUOS4X8KtyifYjNef3J7rBL2drE46hY+aqDD7ksVeIEYw==" saltValue="o+3QK/zsfaz8NX/L2JZAXg==" spinCount="100000" sheet="1" objects="1" scenarios="1" selectLockedCells="1" selectUnlockedCells="1"/>
  <sortState xmlns:xlrd2="http://schemas.microsoft.com/office/spreadsheetml/2017/richdata2" ref="Q3:X38">
    <sortCondition ref="Q3:Q38"/>
  </sortState>
  <mergeCells count="2">
    <mergeCell ref="AO2:AP2"/>
    <mergeCell ref="A10:G10"/>
  </mergeCells>
  <phoneticPr fontId="39" type="noConversion"/>
  <conditionalFormatting sqref="C13:G17">
    <cfRule type="colorScale" priority="328">
      <colorScale>
        <cfvo type="min"/>
        <cfvo type="percentile" val="50"/>
        <cfvo type="max"/>
        <color rgb="FF63BE7B"/>
        <color rgb="FFFFEB84"/>
        <color rgb="FFF8696B"/>
      </colorScale>
    </cfRule>
  </conditionalFormatting>
  <conditionalFormatting sqref="J3:J27">
    <cfRule type="colorScale" priority="327">
      <colorScale>
        <cfvo type="min"/>
        <cfvo type="percentile" val="50"/>
        <cfvo type="max"/>
        <color rgb="FF63BE7B"/>
        <color rgb="FFFFEB84"/>
        <color rgb="FFF8696B"/>
      </colorScale>
    </cfRule>
  </conditionalFormatting>
  <conditionalFormatting sqref="R3:X38">
    <cfRule type="containsText" dxfId="125" priority="27" operator="containsText" text="5E">
      <formula>NOT(ISERROR(SEARCH("5E",R3)))</formula>
    </cfRule>
    <cfRule type="containsText" dxfId="124" priority="28" operator="containsText" text="5D">
      <formula>NOT(ISERROR(SEARCH("5D",R3)))</formula>
    </cfRule>
    <cfRule type="containsText" dxfId="123" priority="29" operator="containsText" text="4E">
      <formula>NOT(ISERROR(SEARCH("4E",R3)))</formula>
    </cfRule>
    <cfRule type="containsText" dxfId="122" priority="30" operator="containsText" text="5C">
      <formula>NOT(ISERROR(SEARCH("5C",R3)))</formula>
    </cfRule>
    <cfRule type="containsText" dxfId="121" priority="31" operator="containsText" text="4D">
      <formula>NOT(ISERROR(SEARCH("4D",R3)))</formula>
    </cfRule>
    <cfRule type="containsText" dxfId="120" priority="32" operator="containsText" text="3E">
      <formula>NOT(ISERROR(SEARCH("3E",R3)))</formula>
    </cfRule>
    <cfRule type="containsText" dxfId="119" priority="33" operator="containsText" text="5B">
      <formula>NOT(ISERROR(SEARCH("5B",R3)))</formula>
    </cfRule>
    <cfRule type="containsText" dxfId="118" priority="34" operator="containsText" text="4C">
      <formula>NOT(ISERROR(SEARCH("4C",R3)))</formula>
    </cfRule>
    <cfRule type="containsText" dxfId="117" priority="35" operator="containsText" text="3D">
      <formula>NOT(ISERROR(SEARCH("3D",R3)))</formula>
    </cfRule>
    <cfRule type="containsText" dxfId="116" priority="36" operator="containsText" text="2E">
      <formula>NOT(ISERROR(SEARCH("2E",R3)))</formula>
    </cfRule>
    <cfRule type="containsText" dxfId="115" priority="37" operator="containsText" text="5A">
      <formula>NOT(ISERROR(SEARCH("5A",R3)))</formula>
    </cfRule>
    <cfRule type="containsText" dxfId="114" priority="38" operator="containsText" text="4B">
      <formula>NOT(ISERROR(SEARCH("4B",R3)))</formula>
    </cfRule>
    <cfRule type="containsText" dxfId="113" priority="39" operator="containsText" text="3C">
      <formula>NOT(ISERROR(SEARCH("3C",R3)))</formula>
    </cfRule>
    <cfRule type="containsText" dxfId="112" priority="40" operator="containsText" text="2D">
      <formula>NOT(ISERROR(SEARCH("2D",R3)))</formula>
    </cfRule>
    <cfRule type="containsText" dxfId="111" priority="41" operator="containsText" text="1E">
      <formula>NOT(ISERROR(SEARCH("1E",R3)))</formula>
    </cfRule>
    <cfRule type="containsText" dxfId="110" priority="42" operator="containsText" text="4A">
      <formula>NOT(ISERROR(SEARCH("4A",R3)))</formula>
    </cfRule>
    <cfRule type="containsText" dxfId="109" priority="43" operator="containsText" text="3B">
      <formula>NOT(ISERROR(SEARCH("3B",R3)))</formula>
    </cfRule>
    <cfRule type="containsText" dxfId="108" priority="44" operator="containsText" text="2C">
      <formula>NOT(ISERROR(SEARCH("2C",R3)))</formula>
    </cfRule>
    <cfRule type="containsText" dxfId="107" priority="45" operator="containsText" text="1D">
      <formula>NOT(ISERROR(SEARCH("1D",R3)))</formula>
    </cfRule>
    <cfRule type="containsText" dxfId="106" priority="46" operator="containsText" text="3A">
      <formula>NOT(ISERROR(SEARCH("3A",R3)))</formula>
    </cfRule>
    <cfRule type="containsText" dxfId="105" priority="47" operator="containsText" text="2B">
      <formula>NOT(ISERROR(SEARCH("2B",R3)))</formula>
    </cfRule>
    <cfRule type="containsText" dxfId="104" priority="48" operator="containsText" text="1C">
      <formula>NOT(ISERROR(SEARCH("1C",R3)))</formula>
    </cfRule>
    <cfRule type="containsText" dxfId="103" priority="49" operator="containsText" text="2A">
      <formula>NOT(ISERROR(SEARCH("2A",R3)))</formula>
    </cfRule>
    <cfRule type="containsText" dxfId="102" priority="50" operator="containsText" text="1B">
      <formula>NOT(ISERROR(SEARCH("1B",R3)))</formula>
    </cfRule>
    <cfRule type="containsText" dxfId="101" priority="51" operator="containsText" text="1A">
      <formula>NOT(ISERROR(SEARCH("1A",R3)))</formula>
    </cfRule>
  </conditionalFormatting>
  <conditionalFormatting sqref="AA16">
    <cfRule type="containsText" dxfId="100" priority="2" operator="containsText" text="5E">
      <formula>NOT(ISERROR(SEARCH("5E",AA16)))</formula>
    </cfRule>
    <cfRule type="containsText" dxfId="99" priority="3" operator="containsText" text="5D">
      <formula>NOT(ISERROR(SEARCH("5D",AA16)))</formula>
    </cfRule>
    <cfRule type="containsText" dxfId="98" priority="4" operator="containsText" text="4E">
      <formula>NOT(ISERROR(SEARCH("4E",AA16)))</formula>
    </cfRule>
    <cfRule type="containsText" dxfId="97" priority="5" operator="containsText" text="5C">
      <formula>NOT(ISERROR(SEARCH("5C",AA16)))</formula>
    </cfRule>
    <cfRule type="containsText" dxfId="96" priority="6" operator="containsText" text="4D">
      <formula>NOT(ISERROR(SEARCH("4D",AA16)))</formula>
    </cfRule>
    <cfRule type="containsText" dxfId="95" priority="7" operator="containsText" text="3E">
      <formula>NOT(ISERROR(SEARCH("3E",AA16)))</formula>
    </cfRule>
    <cfRule type="containsText" dxfId="94" priority="8" operator="containsText" text="5B">
      <formula>NOT(ISERROR(SEARCH("5B",AA16)))</formula>
    </cfRule>
    <cfRule type="containsText" dxfId="93" priority="9" operator="containsText" text="4C">
      <formula>NOT(ISERROR(SEARCH("4C",AA16)))</formula>
    </cfRule>
    <cfRule type="containsText" dxfId="92" priority="10" operator="containsText" text="3D">
      <formula>NOT(ISERROR(SEARCH("3D",AA16)))</formula>
    </cfRule>
    <cfRule type="containsText" dxfId="91" priority="11" operator="containsText" text="2E">
      <formula>NOT(ISERROR(SEARCH("2E",AA16)))</formula>
    </cfRule>
    <cfRule type="containsText" dxfId="90" priority="12" operator="containsText" text="5A">
      <formula>NOT(ISERROR(SEARCH("5A",AA16)))</formula>
    </cfRule>
    <cfRule type="containsText" dxfId="89" priority="13" operator="containsText" text="4B">
      <formula>NOT(ISERROR(SEARCH("4B",AA16)))</formula>
    </cfRule>
    <cfRule type="containsText" dxfId="88" priority="14" operator="containsText" text="3C">
      <formula>NOT(ISERROR(SEARCH("3C",AA16)))</formula>
    </cfRule>
    <cfRule type="containsText" dxfId="87" priority="15" operator="containsText" text="2D">
      <formula>NOT(ISERROR(SEARCH("2D",AA16)))</formula>
    </cfRule>
    <cfRule type="containsText" dxfId="86" priority="16" operator="containsText" text="1E">
      <formula>NOT(ISERROR(SEARCH("1E",AA16)))</formula>
    </cfRule>
    <cfRule type="containsText" dxfId="85" priority="17" operator="containsText" text="4A">
      <formula>NOT(ISERROR(SEARCH("4A",AA16)))</formula>
    </cfRule>
    <cfRule type="containsText" dxfId="84" priority="18" operator="containsText" text="3B">
      <formula>NOT(ISERROR(SEARCH("3B",AA16)))</formula>
    </cfRule>
    <cfRule type="containsText" dxfId="83" priority="19" operator="containsText" text="2C">
      <formula>NOT(ISERROR(SEARCH("2C",AA16)))</formula>
    </cfRule>
    <cfRule type="containsText" dxfId="82" priority="20" operator="containsText" text="1D">
      <formula>NOT(ISERROR(SEARCH("1D",AA16)))</formula>
    </cfRule>
    <cfRule type="containsText" dxfId="81" priority="21" operator="containsText" text="3A">
      <formula>NOT(ISERROR(SEARCH("3A",AA16)))</formula>
    </cfRule>
    <cfRule type="containsText" dxfId="80" priority="22" operator="containsText" text="2B">
      <formula>NOT(ISERROR(SEARCH("2B",AA16)))</formula>
    </cfRule>
    <cfRule type="containsText" dxfId="79" priority="23" operator="containsText" text="1C">
      <formula>NOT(ISERROR(SEARCH("1C",AA16)))</formula>
    </cfRule>
    <cfRule type="containsText" dxfId="78" priority="24" operator="containsText" text="2A">
      <formula>NOT(ISERROR(SEARCH("2A",AA16)))</formula>
    </cfRule>
    <cfRule type="containsText" dxfId="77" priority="25" operator="containsText" text="1B">
      <formula>NOT(ISERROR(SEARCH("1B",AA16)))</formula>
    </cfRule>
    <cfRule type="containsText" dxfId="76" priority="26" operator="containsText" text="1A">
      <formula>NOT(ISERROR(SEARCH("1A",AA16)))</formula>
    </cfRule>
  </conditionalFormatting>
  <conditionalFormatting sqref="AB10:AF14">
    <cfRule type="containsText" dxfId="75" priority="202" operator="containsText" text="5E">
      <formula>NOT(ISERROR(SEARCH("5E",AB10)))</formula>
    </cfRule>
    <cfRule type="containsText" dxfId="74" priority="203" operator="containsText" text="5D">
      <formula>NOT(ISERROR(SEARCH("5D",AB10)))</formula>
    </cfRule>
    <cfRule type="containsText" dxfId="73" priority="204" operator="containsText" text="4E">
      <formula>NOT(ISERROR(SEARCH("4E",AB10)))</formula>
    </cfRule>
    <cfRule type="containsText" dxfId="72" priority="205" operator="containsText" text="5C">
      <formula>NOT(ISERROR(SEARCH("5C",AB10)))</formula>
    </cfRule>
    <cfRule type="containsText" dxfId="71" priority="206" operator="containsText" text="4D">
      <formula>NOT(ISERROR(SEARCH("4D",AB10)))</formula>
    </cfRule>
    <cfRule type="containsText" dxfId="70" priority="207" operator="containsText" text="3E">
      <formula>NOT(ISERROR(SEARCH("3E",AB10)))</formula>
    </cfRule>
    <cfRule type="containsText" dxfId="69" priority="208" operator="containsText" text="5B">
      <formula>NOT(ISERROR(SEARCH("5B",AB10)))</formula>
    </cfRule>
    <cfRule type="containsText" dxfId="68" priority="209" operator="containsText" text="4C">
      <formula>NOT(ISERROR(SEARCH("4C",AB10)))</formula>
    </cfRule>
    <cfRule type="containsText" dxfId="67" priority="210" operator="containsText" text="3D">
      <formula>NOT(ISERROR(SEARCH("3D",AB10)))</formula>
    </cfRule>
    <cfRule type="containsText" dxfId="66" priority="211" operator="containsText" text="2E">
      <formula>NOT(ISERROR(SEARCH("2E",AB10)))</formula>
    </cfRule>
    <cfRule type="containsText" dxfId="65" priority="212" operator="containsText" text="5A">
      <formula>NOT(ISERROR(SEARCH("5A",AB10)))</formula>
    </cfRule>
    <cfRule type="containsText" dxfId="64" priority="213" operator="containsText" text="4B">
      <formula>NOT(ISERROR(SEARCH("4B",AB10)))</formula>
    </cfRule>
    <cfRule type="containsText" dxfId="63" priority="214" operator="containsText" text="3C">
      <formula>NOT(ISERROR(SEARCH("3C",AB10)))</formula>
    </cfRule>
    <cfRule type="containsText" dxfId="62" priority="215" operator="containsText" text="2D">
      <formula>NOT(ISERROR(SEARCH("2D",AB10)))</formula>
    </cfRule>
    <cfRule type="containsText" dxfId="61" priority="216" operator="containsText" text="1E">
      <formula>NOT(ISERROR(SEARCH("1E",AB10)))</formula>
    </cfRule>
    <cfRule type="containsText" dxfId="60" priority="217" operator="containsText" text="4A">
      <formula>NOT(ISERROR(SEARCH("4A",AB10)))</formula>
    </cfRule>
    <cfRule type="containsText" dxfId="59" priority="218" operator="containsText" text="3B">
      <formula>NOT(ISERROR(SEARCH("3B",AB10)))</formula>
    </cfRule>
    <cfRule type="containsText" dxfId="58" priority="219" operator="containsText" text="2C">
      <formula>NOT(ISERROR(SEARCH("2C",AB10)))</formula>
    </cfRule>
    <cfRule type="containsText" dxfId="57" priority="220" operator="containsText" text="1D">
      <formula>NOT(ISERROR(SEARCH("1D",AB10)))</formula>
    </cfRule>
    <cfRule type="containsText" dxfId="56" priority="221" operator="containsText" text="3A">
      <formula>NOT(ISERROR(SEARCH("3A",AB10)))</formula>
    </cfRule>
    <cfRule type="containsText" dxfId="55" priority="222" operator="containsText" text="2B">
      <formula>NOT(ISERROR(SEARCH("2B",AB10)))</formula>
    </cfRule>
    <cfRule type="containsText" dxfId="54" priority="223" operator="containsText" text="1C">
      <formula>NOT(ISERROR(SEARCH("1C",AB10)))</formula>
    </cfRule>
    <cfRule type="containsText" dxfId="53" priority="224" operator="containsText" text="2A">
      <formula>NOT(ISERROR(SEARCH("2A",AB10)))</formula>
    </cfRule>
    <cfRule type="containsText" dxfId="52" priority="225" operator="containsText" text="1B">
      <formula>NOT(ISERROR(SEARCH("1B",AB10)))</formula>
    </cfRule>
    <cfRule type="containsText" dxfId="51" priority="226" operator="containsText" text="1A">
      <formula>NOT(ISERROR(SEARCH("1A",AB10)))</formula>
    </cfRule>
  </conditionalFormatting>
  <conditionalFormatting sqref="AC2:AC6">
    <cfRule type="containsText" dxfId="50" priority="252" operator="containsText" text="5E">
      <formula>NOT(ISERROR(SEARCH("5E",AC2)))</formula>
    </cfRule>
    <cfRule type="containsText" dxfId="49" priority="253" operator="containsText" text="5D">
      <formula>NOT(ISERROR(SEARCH("5D",AC2)))</formula>
    </cfRule>
    <cfRule type="containsText" dxfId="48" priority="254" operator="containsText" text="4E">
      <formula>NOT(ISERROR(SEARCH("4E",AC2)))</formula>
    </cfRule>
    <cfRule type="containsText" dxfId="47" priority="255" operator="containsText" text="5C">
      <formula>NOT(ISERROR(SEARCH("5C",AC2)))</formula>
    </cfRule>
    <cfRule type="containsText" dxfId="46" priority="256" operator="containsText" text="4D">
      <formula>NOT(ISERROR(SEARCH("4D",AC2)))</formula>
    </cfRule>
    <cfRule type="containsText" dxfId="45" priority="257" operator="containsText" text="3E">
      <formula>NOT(ISERROR(SEARCH("3E",AC2)))</formula>
    </cfRule>
    <cfRule type="containsText" dxfId="44" priority="258" operator="containsText" text="5B">
      <formula>NOT(ISERROR(SEARCH("5B",AC2)))</formula>
    </cfRule>
    <cfRule type="containsText" dxfId="43" priority="259" operator="containsText" text="4C">
      <formula>NOT(ISERROR(SEARCH("4C",AC2)))</formula>
    </cfRule>
    <cfRule type="containsText" dxfId="42" priority="260" operator="containsText" text="3D">
      <formula>NOT(ISERROR(SEARCH("3D",AC2)))</formula>
    </cfRule>
    <cfRule type="containsText" dxfId="41" priority="261" operator="containsText" text="2E">
      <formula>NOT(ISERROR(SEARCH("2E",AC2)))</formula>
    </cfRule>
    <cfRule type="containsText" dxfId="40" priority="262" operator="containsText" text="5A">
      <formula>NOT(ISERROR(SEARCH("5A",AC2)))</formula>
    </cfRule>
    <cfRule type="containsText" dxfId="39" priority="263" operator="containsText" text="4B">
      <formula>NOT(ISERROR(SEARCH("4B",AC2)))</formula>
    </cfRule>
    <cfRule type="containsText" dxfId="38" priority="264" operator="containsText" text="3C">
      <formula>NOT(ISERROR(SEARCH("3C",AC2)))</formula>
    </cfRule>
    <cfRule type="containsText" dxfId="37" priority="265" operator="containsText" text="2D">
      <formula>NOT(ISERROR(SEARCH("2D",AC2)))</formula>
    </cfRule>
    <cfRule type="containsText" dxfId="36" priority="266" operator="containsText" text="1E">
      <formula>NOT(ISERROR(SEARCH("1E",AC2)))</formula>
    </cfRule>
    <cfRule type="containsText" dxfId="35" priority="267" operator="containsText" text="4A">
      <formula>NOT(ISERROR(SEARCH("4A",AC2)))</formula>
    </cfRule>
    <cfRule type="containsText" dxfId="34" priority="268" operator="containsText" text="3B">
      <formula>NOT(ISERROR(SEARCH("3B",AC2)))</formula>
    </cfRule>
    <cfRule type="containsText" dxfId="33" priority="269" operator="containsText" text="2C">
      <formula>NOT(ISERROR(SEARCH("2C",AC2)))</formula>
    </cfRule>
    <cfRule type="containsText" dxfId="32" priority="270" operator="containsText" text="1D">
      <formula>NOT(ISERROR(SEARCH("1D",AC2)))</formula>
    </cfRule>
    <cfRule type="containsText" dxfId="31" priority="271" operator="containsText" text="3A">
      <formula>NOT(ISERROR(SEARCH("3A",AC2)))</formula>
    </cfRule>
    <cfRule type="containsText" dxfId="30" priority="272" operator="containsText" text="2B">
      <formula>NOT(ISERROR(SEARCH("2B",AC2)))</formula>
    </cfRule>
    <cfRule type="containsText" dxfId="29" priority="273" operator="containsText" text="1C">
      <formula>NOT(ISERROR(SEARCH("1C",AC2)))</formula>
    </cfRule>
    <cfRule type="containsText" dxfId="28" priority="274" operator="containsText" text="2A">
      <formula>NOT(ISERROR(SEARCH("2A",AC2)))</formula>
    </cfRule>
    <cfRule type="containsText" dxfId="27" priority="275" operator="containsText" text="1B">
      <formula>NOT(ISERROR(SEARCH("1B",AC2)))</formula>
    </cfRule>
    <cfRule type="containsText" dxfId="26" priority="276" operator="containsText" text="1A">
      <formula>NOT(ISERROR(SEARCH("1A",AC2)))</formula>
    </cfRule>
  </conditionalFormatting>
  <conditionalFormatting sqref="AL3:AL261 C4:G8">
    <cfRule type="containsText" dxfId="25" priority="302" operator="containsText" text="5E">
      <formula>NOT(ISERROR(SEARCH("5E",C3)))</formula>
    </cfRule>
    <cfRule type="containsText" dxfId="24" priority="303" operator="containsText" text="5D">
      <formula>NOT(ISERROR(SEARCH("5D",C3)))</formula>
    </cfRule>
    <cfRule type="containsText" dxfId="23" priority="304" operator="containsText" text="4E">
      <formula>NOT(ISERROR(SEARCH("4E",C3)))</formula>
    </cfRule>
    <cfRule type="containsText" dxfId="22" priority="305" operator="containsText" text="5C">
      <formula>NOT(ISERROR(SEARCH("5C",C3)))</formula>
    </cfRule>
    <cfRule type="containsText" dxfId="21" priority="306" operator="containsText" text="4D">
      <formula>NOT(ISERROR(SEARCH("4D",C3)))</formula>
    </cfRule>
    <cfRule type="containsText" dxfId="20" priority="307" operator="containsText" text="3E">
      <formula>NOT(ISERROR(SEARCH("3E",C3)))</formula>
    </cfRule>
    <cfRule type="containsText" dxfId="19" priority="308" operator="containsText" text="5B">
      <formula>NOT(ISERROR(SEARCH("5B",C3)))</formula>
    </cfRule>
    <cfRule type="containsText" dxfId="18" priority="309" operator="containsText" text="4C">
      <formula>NOT(ISERROR(SEARCH("4C",C3)))</formula>
    </cfRule>
    <cfRule type="containsText" dxfId="17" priority="310" operator="containsText" text="3D">
      <formula>NOT(ISERROR(SEARCH("3D",C3)))</formula>
    </cfRule>
    <cfRule type="containsText" dxfId="16" priority="311" operator="containsText" text="2E">
      <formula>NOT(ISERROR(SEARCH("2E",C3)))</formula>
    </cfRule>
    <cfRule type="containsText" dxfId="15" priority="312" operator="containsText" text="5A">
      <formula>NOT(ISERROR(SEARCH("5A",C3)))</formula>
    </cfRule>
    <cfRule type="containsText" dxfId="14" priority="313" operator="containsText" text="4B">
      <formula>NOT(ISERROR(SEARCH("4B",C3)))</formula>
    </cfRule>
    <cfRule type="containsText" dxfId="13" priority="314" operator="containsText" text="3C">
      <formula>NOT(ISERROR(SEARCH("3C",C3)))</formula>
    </cfRule>
    <cfRule type="containsText" dxfId="12" priority="315" operator="containsText" text="2D">
      <formula>NOT(ISERROR(SEARCH("2D",C3)))</formula>
    </cfRule>
    <cfRule type="containsText" dxfId="11" priority="316" operator="containsText" text="1E">
      <formula>NOT(ISERROR(SEARCH("1E",C3)))</formula>
    </cfRule>
    <cfRule type="containsText" dxfId="10" priority="317" operator="containsText" text="4A">
      <formula>NOT(ISERROR(SEARCH("4A",C3)))</formula>
    </cfRule>
    <cfRule type="containsText" dxfId="9" priority="318" operator="containsText" text="3B">
      <formula>NOT(ISERROR(SEARCH("3B",C3)))</formula>
    </cfRule>
    <cfRule type="containsText" dxfId="8" priority="319" operator="containsText" text="2C">
      <formula>NOT(ISERROR(SEARCH("2C",C3)))</formula>
    </cfRule>
    <cfRule type="containsText" dxfId="7" priority="320" operator="containsText" text="1D">
      <formula>NOT(ISERROR(SEARCH("1D",C3)))</formula>
    </cfRule>
    <cfRule type="containsText" dxfId="6" priority="321" operator="containsText" text="3A">
      <formula>NOT(ISERROR(SEARCH("3A",C3)))</formula>
    </cfRule>
    <cfRule type="containsText" dxfId="5" priority="322" operator="containsText" text="2B">
      <formula>NOT(ISERROR(SEARCH("2B",C3)))</formula>
    </cfRule>
    <cfRule type="containsText" dxfId="4" priority="323" operator="containsText" text="1C">
      <formula>NOT(ISERROR(SEARCH("1C",C3)))</formula>
    </cfRule>
    <cfRule type="containsText" dxfId="3" priority="324" operator="containsText" text="2A">
      <formula>NOT(ISERROR(SEARCH("2A",C3)))</formula>
    </cfRule>
    <cfRule type="containsText" dxfId="2" priority="325" operator="containsText" text="1B">
      <formula>NOT(ISERROR(SEARCH("1B",C3)))</formula>
    </cfRule>
    <cfRule type="containsText" dxfId="1" priority="326" operator="containsText" text="1A">
      <formula>NOT(ISERROR(SEARCH("1A",C3)))</formula>
    </cfRule>
  </conditionalFormatting>
  <conditionalFormatting sqref="AR3:AR261">
    <cfRule type="containsText" dxfId="0" priority="1" operator="containsText" text="x">
      <formula>NOT(ISERROR(SEARCH("x",AR3)))</formula>
    </cfRule>
  </conditionalFormatting>
  <printOptions horizontalCentered="1"/>
  <pageMargins left="0.11811023622047245" right="0.11811023622047245" top="0.11811023622047245" bottom="0.11811023622047245" header="0" footer="0"/>
  <pageSetup scale="40" fitToHeight="0"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8</vt:i4>
      </vt:variant>
    </vt:vector>
  </HeadingPairs>
  <TitlesOfParts>
    <vt:vector size="16" baseType="lpstr">
      <vt:lpstr>C172 R-S</vt:lpstr>
      <vt:lpstr>P2002JF</vt:lpstr>
      <vt:lpstr>EFPL-C172</vt:lpstr>
      <vt:lpstr>EFPL-P2002JF</vt:lpstr>
      <vt:lpstr>INSTRUCTIVO</vt:lpstr>
      <vt:lpstr>C172 R-S - BLANCO</vt:lpstr>
      <vt:lpstr>P2002JF - BLANCO</vt:lpstr>
      <vt:lpstr>PREVAC</vt:lpstr>
      <vt:lpstr>'C172 R-S'!Área_de_impresión</vt:lpstr>
      <vt:lpstr>'C172 R-S - BLANCO'!Área_de_impresión</vt:lpstr>
      <vt:lpstr>'EFPL-C172'!Área_de_impresión</vt:lpstr>
      <vt:lpstr>'EFPL-P2002JF'!Área_de_impresión</vt:lpstr>
      <vt:lpstr>INSTRUCTIVO!Área_de_impresión</vt:lpstr>
      <vt:lpstr>P2002JF!Área_de_impresión</vt:lpstr>
      <vt:lpstr>'P2002JF - BLANCO'!Área_de_impresión</vt:lpstr>
      <vt:lpstr>PREVAC!Área_de_impresión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DICO DICO</cp:lastModifiedBy>
  <cp:lastPrinted>2024-10-04T20:43:28Z</cp:lastPrinted>
  <dcterms:created xsi:type="dcterms:W3CDTF">2022-11-11T14:58:56Z</dcterms:created>
  <dcterms:modified xsi:type="dcterms:W3CDTF">2026-07-02T19:36:04Z</dcterms:modified>
</cp:coreProperties>
</file>